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540"/>
  </bookViews>
  <sheets>
    <sheet name="Proposta - Paramétrica" sheetId="1" r:id="rId1"/>
    <sheet name="Cálculo - SBGL" sheetId="5" r:id="rId2"/>
    <sheet name="Cálculo - SBCF" sheetId="6" r:id="rId3"/>
    <sheet name="Cálculo - SBSG" sheetId="7" r:id="rId4"/>
  </sheets>
  <calcPr calcId="145621" calcMode="autoNoTable"/>
</workbook>
</file>

<file path=xl/calcChain.xml><?xml version="1.0" encoding="utf-8"?>
<calcChain xmlns="http://schemas.openxmlformats.org/spreadsheetml/2006/main">
  <c r="H22" i="7" l="1"/>
  <c r="F22" i="7"/>
  <c r="D22" i="7"/>
  <c r="H21" i="7"/>
  <c r="F21" i="7"/>
  <c r="D21" i="7"/>
  <c r="H20" i="7"/>
  <c r="F20" i="7"/>
  <c r="D20" i="7"/>
  <c r="H19" i="7"/>
  <c r="F19" i="7"/>
  <c r="D19" i="7"/>
  <c r="H18" i="7"/>
  <c r="F18" i="7"/>
  <c r="D18" i="7"/>
  <c r="H17" i="7"/>
  <c r="F17" i="7"/>
  <c r="D17" i="7"/>
  <c r="I14" i="7"/>
  <c r="G14" i="7"/>
  <c r="E14" i="7"/>
  <c r="G22" i="7" s="1"/>
  <c r="C14" i="7"/>
  <c r="E22" i="7" s="1"/>
  <c r="I12" i="7"/>
  <c r="G12" i="7"/>
  <c r="E12" i="7"/>
  <c r="G21" i="7" s="1"/>
  <c r="C12" i="7"/>
  <c r="E21" i="7" s="1"/>
  <c r="I10" i="7"/>
  <c r="G10" i="7"/>
  <c r="E10" i="7"/>
  <c r="G20" i="7" s="1"/>
  <c r="C10" i="7"/>
  <c r="E20" i="7" s="1"/>
  <c r="I8" i="7"/>
  <c r="G8" i="7"/>
  <c r="E8" i="7"/>
  <c r="G19" i="7" s="1"/>
  <c r="C8" i="7"/>
  <c r="E19" i="7" s="1"/>
  <c r="I6" i="7"/>
  <c r="G6" i="7"/>
  <c r="E6" i="7"/>
  <c r="G18" i="7" s="1"/>
  <c r="C6" i="7"/>
  <c r="E18" i="7" s="1"/>
  <c r="I4" i="7"/>
  <c r="G4" i="7"/>
  <c r="E4" i="7"/>
  <c r="G17" i="7" s="1"/>
  <c r="C4" i="7"/>
  <c r="E17" i="7" s="1"/>
  <c r="H22" i="6"/>
  <c r="F22" i="6"/>
  <c r="D22" i="6"/>
  <c r="H21" i="6"/>
  <c r="F21" i="6"/>
  <c r="D21" i="6"/>
  <c r="H20" i="6"/>
  <c r="D20" i="6"/>
  <c r="H19" i="6"/>
  <c r="F19" i="6"/>
  <c r="D19" i="6"/>
  <c r="H18" i="6"/>
  <c r="F18" i="6"/>
  <c r="D18" i="6"/>
  <c r="H17" i="6"/>
  <c r="F17" i="6"/>
  <c r="D17" i="6"/>
  <c r="I14" i="6"/>
  <c r="G14" i="6"/>
  <c r="I22" i="6" s="1"/>
  <c r="E14" i="6"/>
  <c r="C14" i="6"/>
  <c r="E22" i="6" s="1"/>
  <c r="I12" i="6"/>
  <c r="G12" i="6"/>
  <c r="E12" i="6"/>
  <c r="C12" i="6"/>
  <c r="E21" i="6" s="1"/>
  <c r="I10" i="6"/>
  <c r="G10" i="6"/>
  <c r="I20" i="6" s="1"/>
  <c r="E10" i="6"/>
  <c r="C10" i="6"/>
  <c r="E20" i="6" s="1"/>
  <c r="I8" i="6"/>
  <c r="G8" i="6"/>
  <c r="I19" i="6" s="1"/>
  <c r="E8" i="6"/>
  <c r="C8" i="6"/>
  <c r="E19" i="6" s="1"/>
  <c r="I6" i="6"/>
  <c r="G6" i="6"/>
  <c r="E6" i="6"/>
  <c r="C6" i="6"/>
  <c r="E18" i="6" s="1"/>
  <c r="I4" i="6"/>
  <c r="G4" i="6"/>
  <c r="I17" i="6" s="1"/>
  <c r="E4" i="6"/>
  <c r="G17" i="6" s="1"/>
  <c r="C4" i="6"/>
  <c r="E17" i="6" s="1"/>
  <c r="H22" i="5"/>
  <c r="F22" i="5"/>
  <c r="D22" i="5"/>
  <c r="H21" i="5"/>
  <c r="F21" i="5"/>
  <c r="D21" i="5"/>
  <c r="H20" i="5"/>
  <c r="F20" i="5"/>
  <c r="D20" i="5"/>
  <c r="H19" i="5"/>
  <c r="F19" i="5"/>
  <c r="D19" i="5"/>
  <c r="H18" i="5"/>
  <c r="F18" i="5"/>
  <c r="D18" i="5"/>
  <c r="H17" i="5"/>
  <c r="F17" i="5"/>
  <c r="D17" i="5"/>
  <c r="I14" i="5"/>
  <c r="G14" i="5"/>
  <c r="E14" i="5"/>
  <c r="C14" i="5"/>
  <c r="I12" i="5"/>
  <c r="G12" i="5"/>
  <c r="E12" i="5"/>
  <c r="C12" i="5"/>
  <c r="I10" i="5"/>
  <c r="G10" i="5"/>
  <c r="E10" i="5"/>
  <c r="C10" i="5"/>
  <c r="I8" i="5"/>
  <c r="G8" i="5"/>
  <c r="E8" i="5"/>
  <c r="C8" i="5"/>
  <c r="I6" i="5"/>
  <c r="G6" i="5"/>
  <c r="E6" i="5"/>
  <c r="C6" i="5"/>
  <c r="I4" i="5"/>
  <c r="G4" i="5"/>
  <c r="E4" i="5"/>
  <c r="C4" i="5"/>
  <c r="E17" i="5" l="1"/>
  <c r="E18" i="5"/>
  <c r="E19" i="5"/>
  <c r="E20" i="5"/>
  <c r="G21" i="5"/>
  <c r="E22" i="5"/>
  <c r="G21" i="6"/>
  <c r="F24" i="7"/>
  <c r="I17" i="7"/>
  <c r="H24" i="7" s="1"/>
  <c r="H25" i="7" s="1"/>
  <c r="H26" i="7" s="1"/>
  <c r="H27" i="7" s="1"/>
  <c r="I18" i="7"/>
  <c r="I19" i="7"/>
  <c r="I20" i="7"/>
  <c r="I21" i="7"/>
  <c r="I22" i="7"/>
  <c r="D24" i="7"/>
  <c r="G19" i="6"/>
  <c r="G18" i="6"/>
  <c r="D24" i="6"/>
  <c r="I18" i="6"/>
  <c r="G20" i="6"/>
  <c r="I21" i="6"/>
  <c r="H24" i="6" s="1"/>
  <c r="G22" i="6"/>
  <c r="I17" i="5"/>
  <c r="I18" i="5"/>
  <c r="I19" i="5"/>
  <c r="I20" i="5"/>
  <c r="I21" i="5"/>
  <c r="I22" i="5"/>
  <c r="E21" i="5"/>
  <c r="G17" i="5"/>
  <c r="G19" i="5"/>
  <c r="G22" i="5"/>
  <c r="G18" i="5"/>
  <c r="G20" i="5"/>
  <c r="D24" i="5" l="1"/>
  <c r="F24" i="6"/>
  <c r="H25" i="6" s="1"/>
  <c r="H26" i="6" s="1"/>
  <c r="H27" i="6" s="1"/>
  <c r="F24" i="5"/>
  <c r="H24" i="5"/>
  <c r="H25" i="5" l="1"/>
  <c r="H26" i="5" s="1"/>
  <c r="H27" i="5" s="1"/>
  <c r="E28" i="1" l="1"/>
  <c r="E27" i="1"/>
  <c r="E26" i="1"/>
  <c r="E25" i="1"/>
  <c r="E24" i="1"/>
  <c r="E23" i="1"/>
</calcChain>
</file>

<file path=xl/sharedStrings.xml><?xml version="1.0" encoding="utf-8"?>
<sst xmlns="http://schemas.openxmlformats.org/spreadsheetml/2006/main" count="69" uniqueCount="28">
  <si>
    <t>Componente T</t>
  </si>
  <si>
    <t>Curva Proposta pelas Concessionárias de Confins e Galeão</t>
  </si>
  <si>
    <t>Pontos médios das faixas</t>
  </si>
  <si>
    <t>Fator X</t>
  </si>
  <si>
    <t>Proposta Regressão Linear</t>
  </si>
  <si>
    <t>Segmento, receita e proporção sobre receita tarifária</t>
  </si>
  <si>
    <t>SBGL</t>
  </si>
  <si>
    <t>Embarque + Desembarque Doméstico</t>
  </si>
  <si>
    <t>Embarque + Desembarque Internacional</t>
  </si>
  <si>
    <t>Conexão doméstica</t>
  </si>
  <si>
    <t>Aeronaves doméstico</t>
  </si>
  <si>
    <t>Aeronaves internacional</t>
  </si>
  <si>
    <t>Pax Doméstico</t>
  </si>
  <si>
    <t>Pax Internacional</t>
  </si>
  <si>
    <t>Conexão Doméstico</t>
  </si>
  <si>
    <t>Conexão Internacional</t>
  </si>
  <si>
    <t>Aeronaves Doméstico</t>
  </si>
  <si>
    <t>Aeronaves Internacional</t>
  </si>
  <si>
    <t>Razão média anual 2015-2018</t>
  </si>
  <si>
    <t>Variação percentual média 2015-2018</t>
  </si>
  <si>
    <t>Fator X [%]</t>
  </si>
  <si>
    <t>SBCF</t>
  </si>
  <si>
    <t>SBSG</t>
  </si>
  <si>
    <t>Conexão internacional</t>
  </si>
  <si>
    <t>Variação do movimento por segmento e peso médio</t>
  </si>
  <si>
    <t xml:space="preserve"> </t>
  </si>
  <si>
    <t>Variação do Produto [%]</t>
  </si>
  <si>
    <r>
      <t>Componente T em função da variação percentual da Cesta de Produtos (</t>
    </r>
    <r>
      <rPr>
        <b/>
        <i/>
        <sz val="12"/>
        <color theme="1"/>
        <rFont val="Calibri"/>
        <family val="2"/>
        <scheme val="minor"/>
      </rPr>
      <t>∆CP</t>
    </r>
    <r>
      <rPr>
        <b/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</si>
</sst>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0%"/>
    <numFmt numFmtId="166" formatCode="_(* #,##0_);_(* \(#,##0\);_(* &quot;-&quot;??_);_(@_)"/>
    <numFmt numFmtId="167" formatCode="0.0%"/>
    <numFmt numFmtId="168" formatCode="0.000"/>
    <numFmt numFmtId="169" formatCode="_(* #,##0.000_);_(* \(#,##0.00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Geneva"/>
    </font>
    <font>
      <b/>
      <sz val="11"/>
      <color indexed="63"/>
      <name val="Calibri"/>
      <family val="2"/>
    </font>
    <font>
      <b/>
      <i/>
      <sz val="10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8" fillId="21" borderId="2" applyNumberForma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10" fillId="8" borderId="1" applyNumberFormat="0" applyAlignment="0" applyProtection="0"/>
    <xf numFmtId="0" fontId="11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0" fillId="7" borderId="1" applyNumberFormat="0" applyAlignment="0" applyProtection="0"/>
    <xf numFmtId="0" fontId="9" fillId="0" borderId="3" applyNumberFormat="0" applyFill="0" applyAlignment="0" applyProtection="0"/>
    <xf numFmtId="44" fontId="1" fillId="0" borderId="0" applyFont="0" applyFill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1" fillId="0" borderId="0"/>
    <xf numFmtId="37" fontId="17" fillId="0" borderId="0"/>
    <xf numFmtId="0" fontId="16" fillId="0" borderId="0"/>
    <xf numFmtId="0" fontId="16" fillId="23" borderId="7" applyNumberFormat="0" applyFont="0" applyAlignment="0" applyProtection="0"/>
    <xf numFmtId="0" fontId="3" fillId="23" borderId="7" applyNumberFormat="0" applyFont="0" applyAlignment="0" applyProtection="0"/>
    <xf numFmtId="0" fontId="18" fillId="8" borderId="8" applyNumberFormat="0" applyAlignment="0" applyProtection="0"/>
    <xf numFmtId="0" fontId="18" fillId="8" borderId="8" applyNumberFormat="0" applyAlignment="0" applyProtection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5" fillId="0" borderId="0" xfId="0" applyFont="1" applyBorder="1"/>
    <xf numFmtId="3" fontId="0" fillId="0" borderId="0" xfId="0" applyNumberFormat="1"/>
    <xf numFmtId="9" fontId="0" fillId="0" borderId="0" xfId="0" applyNumberFormat="1"/>
    <xf numFmtId="0" fontId="2" fillId="0" borderId="0" xfId="0" applyFont="1"/>
    <xf numFmtId="166" fontId="0" fillId="0" borderId="0" xfId="89" applyNumberFormat="1" applyFont="1"/>
    <xf numFmtId="3" fontId="0" fillId="0" borderId="0" xfId="2" applyNumberFormat="1" applyFont="1" applyAlignment="1">
      <alignment horizontal="left" vertical="center"/>
    </xf>
    <xf numFmtId="3" fontId="0" fillId="0" borderId="0" xfId="2" applyNumberFormat="1" applyFont="1" applyAlignment="1">
      <alignment horizontal="right" vertical="center"/>
    </xf>
    <xf numFmtId="44" fontId="0" fillId="0" borderId="0" xfId="1" applyFont="1"/>
    <xf numFmtId="9" fontId="0" fillId="0" borderId="0" xfId="2" applyFont="1"/>
    <xf numFmtId="167" fontId="0" fillId="0" borderId="0" xfId="2" applyNumberFormat="1" applyFont="1"/>
    <xf numFmtId="44" fontId="0" fillId="0" borderId="0" xfId="1" applyFont="1" applyAlignment="1">
      <alignment horizontal="left" vertical="center"/>
    </xf>
    <xf numFmtId="3" fontId="0" fillId="0" borderId="0" xfId="2" applyNumberFormat="1" applyFont="1" applyAlignment="1">
      <alignment horizontal="right"/>
    </xf>
    <xf numFmtId="166" fontId="2" fillId="0" borderId="0" xfId="89" applyNumberFormat="1" applyFont="1"/>
    <xf numFmtId="44" fontId="0" fillId="0" borderId="0" xfId="0" applyNumberFormat="1"/>
    <xf numFmtId="0" fontId="0" fillId="0" borderId="0" xfId="0" applyAlignment="1"/>
    <xf numFmtId="168" fontId="0" fillId="0" borderId="0" xfId="0" applyNumberFormat="1" applyAlignment="1"/>
    <xf numFmtId="169" fontId="0" fillId="0" borderId="0" xfId="0" applyNumberFormat="1" applyAlignment="1"/>
    <xf numFmtId="168" fontId="0" fillId="0" borderId="0" xfId="0" applyNumberFormat="1" applyAlignment="1">
      <alignment horizontal="center"/>
    </xf>
    <xf numFmtId="10" fontId="0" fillId="0" borderId="0" xfId="2" applyNumberFormat="1" applyFont="1"/>
    <xf numFmtId="165" fontId="0" fillId="0" borderId="0" xfId="2" applyNumberFormat="1" applyFont="1" applyAlignment="1"/>
    <xf numFmtId="166" fontId="0" fillId="0" borderId="0" xfId="0" applyNumberFormat="1"/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89" applyNumberFormat="1" applyFont="1" applyAlignment="1">
      <alignment horizontal="center"/>
    </xf>
  </cellXfs>
  <cellStyles count="92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2" xfId="9"/>
    <cellStyle name="20% - Ênfase2 2" xfId="10"/>
    <cellStyle name="20% - Ênfase3 2" xfId="11"/>
    <cellStyle name="20% - Ênfase4 2" xfId="12"/>
    <cellStyle name="20% - Ênfase5 2" xfId="13"/>
    <cellStyle name="20% - Ênfase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Ênfase1 2" xfId="21"/>
    <cellStyle name="40% - Ênfase2 2" xfId="22"/>
    <cellStyle name="40% - Ênfase3 2" xfId="23"/>
    <cellStyle name="40% - Ênfase4 2" xfId="24"/>
    <cellStyle name="40% - Ênfase5 2" xfId="25"/>
    <cellStyle name="40% - Ênfase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Ênfase1 2" xfId="33"/>
    <cellStyle name="60% - Ênfase2 2" xfId="34"/>
    <cellStyle name="60% - Ênfase3 2" xfId="35"/>
    <cellStyle name="60% - Ênfase4 2" xfId="36"/>
    <cellStyle name="60% - Ênfase5 2" xfId="37"/>
    <cellStyle name="60% - Ênfase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Bom 2" xfId="46"/>
    <cellStyle name="Calculation" xfId="47"/>
    <cellStyle name="Cálculo 2" xfId="48"/>
    <cellStyle name="Célula de Verificação 2" xfId="49"/>
    <cellStyle name="Célula Vinculada 2" xfId="50"/>
    <cellStyle name="Check Cell" xfId="51"/>
    <cellStyle name="Ênfase1 2" xfId="52"/>
    <cellStyle name="Ênfase2 2" xfId="53"/>
    <cellStyle name="Ênfase3 2" xfId="54"/>
    <cellStyle name="Ênfase4 2" xfId="55"/>
    <cellStyle name="Ênfase5 2" xfId="56"/>
    <cellStyle name="Ênfase6 2" xfId="57"/>
    <cellStyle name="Entrada 2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put" xfId="65"/>
    <cellStyle name="Linked Cell" xfId="66"/>
    <cellStyle name="Moeda" xfId="1" builtinId="4"/>
    <cellStyle name="Moeda 2" xfId="67"/>
    <cellStyle name="Neutral" xfId="68"/>
    <cellStyle name="Normal" xfId="0" builtinId="0"/>
    <cellStyle name="Normal 2" xfId="69"/>
    <cellStyle name="Normal 211" xfId="70"/>
    <cellStyle name="Normal 3 7" xfId="71"/>
    <cellStyle name="Normal 5" xfId="72"/>
    <cellStyle name="Nota 2" xfId="73"/>
    <cellStyle name="Note" xfId="74"/>
    <cellStyle name="Output" xfId="75"/>
    <cellStyle name="Porcentagem" xfId="2" builtinId="5"/>
    <cellStyle name="Saída 2" xfId="76"/>
    <cellStyle name="Separador de milhares 2" xfId="77"/>
    <cellStyle name="Texto de Aviso 2" xfId="78"/>
    <cellStyle name="Texto Explicativo 2" xfId="79"/>
    <cellStyle name="Title" xfId="80"/>
    <cellStyle name="Título 1 2" xfId="81"/>
    <cellStyle name="Título 2 2" xfId="82"/>
    <cellStyle name="Título 3 2" xfId="83"/>
    <cellStyle name="Título 4 2" xfId="84"/>
    <cellStyle name="Título 5" xfId="85"/>
    <cellStyle name="Total 2" xfId="86"/>
    <cellStyle name="Vírgula 2" xfId="87"/>
    <cellStyle name="Vírgula 3" xfId="88"/>
    <cellStyle name="Vírgula 4" xfId="89"/>
    <cellStyle name="Vírgula 8" xfId="90"/>
    <cellStyle name="Warning Text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Componente T</a:t>
            </a:r>
          </a:p>
          <a:p>
            <a:pPr>
              <a:defRPr/>
            </a:pPr>
            <a:endParaRPr lang="pt-B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057864710676449E-2"/>
          <c:y val="0.18190276896986307"/>
          <c:w val="0.94440344728462899"/>
          <c:h val="0.68673283559794884"/>
        </c:manualLayout>
      </c:layout>
      <c:scatterChart>
        <c:scatterStyle val="lineMarker"/>
        <c:varyColors val="0"/>
        <c:ser>
          <c:idx val="0"/>
          <c:order val="0"/>
          <c:tx>
            <c:v>Proposta Confins e Galeão</c:v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'Proposta - Paramétrica'!$B$22:$B$37</c:f>
              <c:numCache>
                <c:formatCode>General</c:formatCode>
                <c:ptCount val="16"/>
                <c:pt idx="0">
                  <c:v>-15</c:v>
                </c:pt>
                <c:pt idx="1">
                  <c:v>-1</c:v>
                </c:pt>
                <c:pt idx="2">
                  <c:v>-1</c:v>
                </c:pt>
                <c:pt idx="3">
                  <c:v>0.3</c:v>
                </c:pt>
                <c:pt idx="4">
                  <c:v>0.3</c:v>
                </c:pt>
                <c:pt idx="5">
                  <c:v>1.9</c:v>
                </c:pt>
                <c:pt idx="6">
                  <c:v>1.9</c:v>
                </c:pt>
                <c:pt idx="7">
                  <c:v>3.5</c:v>
                </c:pt>
                <c:pt idx="8">
                  <c:v>3.5</c:v>
                </c:pt>
                <c:pt idx="9">
                  <c:v>5.15</c:v>
                </c:pt>
                <c:pt idx="10">
                  <c:v>5.15</c:v>
                </c:pt>
                <c:pt idx="11">
                  <c:v>6.75</c:v>
                </c:pt>
                <c:pt idx="12">
                  <c:v>6.75</c:v>
                </c:pt>
                <c:pt idx="13">
                  <c:v>8.4</c:v>
                </c:pt>
                <c:pt idx="14">
                  <c:v>8.4</c:v>
                </c:pt>
                <c:pt idx="15">
                  <c:v>15</c:v>
                </c:pt>
              </c:numCache>
            </c:numRef>
          </c:xVal>
          <c:yVal>
            <c:numRef>
              <c:f>'Proposta - Paramétrica'!$C$22:$C$37</c:f>
              <c:numCache>
                <c:formatCode>General</c:formatCode>
                <c:ptCount val="16"/>
                <c:pt idx="0">
                  <c:v>2.1</c:v>
                </c:pt>
                <c:pt idx="1">
                  <c:v>2.1</c:v>
                </c:pt>
                <c:pt idx="2">
                  <c:v>1.5</c:v>
                </c:pt>
                <c:pt idx="3">
                  <c:v>1.5</c:v>
                </c:pt>
                <c:pt idx="4">
                  <c:v>0.9</c:v>
                </c:pt>
                <c:pt idx="5">
                  <c:v>0.9</c:v>
                </c:pt>
                <c:pt idx="6">
                  <c:v>0.72</c:v>
                </c:pt>
                <c:pt idx="7">
                  <c:v>0.72</c:v>
                </c:pt>
                <c:pt idx="8">
                  <c:v>0.54</c:v>
                </c:pt>
                <c:pt idx="9">
                  <c:v>0.54</c:v>
                </c:pt>
                <c:pt idx="10">
                  <c:v>0.36</c:v>
                </c:pt>
                <c:pt idx="11">
                  <c:v>0.36</c:v>
                </c:pt>
                <c:pt idx="12">
                  <c:v>0.18</c:v>
                </c:pt>
                <c:pt idx="13">
                  <c:v>0.18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</c:ser>
        <c:ser>
          <c:idx val="3"/>
          <c:order val="1"/>
          <c:tx>
            <c:v>Pontos considerados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'Proposta - Paramétrica'!$E$22:$E$29</c:f>
              <c:numCache>
                <c:formatCode>General</c:formatCode>
                <c:ptCount val="8"/>
                <c:pt idx="0">
                  <c:v>-1</c:v>
                </c:pt>
                <c:pt idx="1">
                  <c:v>-0.35</c:v>
                </c:pt>
                <c:pt idx="2">
                  <c:v>1.0999999999999999</c:v>
                </c:pt>
                <c:pt idx="3">
                  <c:v>2.7</c:v>
                </c:pt>
                <c:pt idx="4">
                  <c:v>4.3250000000000002</c:v>
                </c:pt>
                <c:pt idx="5">
                  <c:v>5.95</c:v>
                </c:pt>
                <c:pt idx="6">
                  <c:v>7.5750000000000002</c:v>
                </c:pt>
                <c:pt idx="7">
                  <c:v>8.4</c:v>
                </c:pt>
              </c:numCache>
            </c:numRef>
          </c:xVal>
          <c:yVal>
            <c:numRef>
              <c:f>'Proposta - Paramétrica'!$F$22:$F$29</c:f>
              <c:numCache>
                <c:formatCode>General</c:formatCode>
                <c:ptCount val="8"/>
                <c:pt idx="0">
                  <c:v>2.1</c:v>
                </c:pt>
                <c:pt idx="1">
                  <c:v>1.5</c:v>
                </c:pt>
                <c:pt idx="2">
                  <c:v>0.9</c:v>
                </c:pt>
                <c:pt idx="3">
                  <c:v>0.72</c:v>
                </c:pt>
                <c:pt idx="4">
                  <c:v>0.54</c:v>
                </c:pt>
                <c:pt idx="5">
                  <c:v>0.36</c:v>
                </c:pt>
                <c:pt idx="6">
                  <c:v>0.18</c:v>
                </c:pt>
                <c:pt idx="7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Proposta Linear</c:v>
          </c:tx>
          <c:marker>
            <c:symbol val="none"/>
          </c:marker>
          <c:xVal>
            <c:numRef>
              <c:f>'Proposta - Paramétrica'!$H$22:$H$25</c:f>
              <c:numCache>
                <c:formatCode>General</c:formatCode>
                <c:ptCount val="4"/>
                <c:pt idx="0">
                  <c:v>-9</c:v>
                </c:pt>
                <c:pt idx="1">
                  <c:v>-3.49</c:v>
                </c:pt>
                <c:pt idx="2">
                  <c:v>7.84</c:v>
                </c:pt>
                <c:pt idx="3">
                  <c:v>9</c:v>
                </c:pt>
              </c:numCache>
            </c:numRef>
          </c:xVal>
          <c:yVal>
            <c:numRef>
              <c:f>'Proposta - Paramétrica'!$I$22:$I$25</c:f>
              <c:numCache>
                <c:formatCode>General</c:formatCode>
                <c:ptCount val="4"/>
                <c:pt idx="0">
                  <c:v>2.1</c:v>
                </c:pt>
                <c:pt idx="1">
                  <c:v>2.1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0048"/>
        <c:axId val="148691968"/>
      </c:scatterChart>
      <c:valAx>
        <c:axId val="148690048"/>
        <c:scaling>
          <c:orientation val="minMax"/>
          <c:max val="10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Variação do Tráfego [%]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pt-BR"/>
          </a:p>
        </c:txPr>
        <c:crossAx val="148691968"/>
        <c:crosses val="autoZero"/>
        <c:crossBetween val="midCat"/>
      </c:valAx>
      <c:valAx>
        <c:axId val="148691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pt-BR"/>
          </a:p>
        </c:txPr>
        <c:crossAx val="148690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829251611064381"/>
          <c:y val="0.38739974257533788"/>
          <c:w val="0.25821399439938747"/>
          <c:h val="0.17468405550283231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251571</xdr:colOff>
      <xdr:row>3</xdr:row>
      <xdr:rowOff>107295</xdr:rowOff>
    </xdr:from>
    <xdr:to>
      <xdr:col>22</xdr:col>
      <xdr:colOff>122704</xdr:colOff>
      <xdr:row>25</xdr:row>
      <xdr:rowOff>188258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495300</xdr:colOff>
      <xdr:row>3</xdr:row>
      <xdr:rowOff>176212</xdr:rowOff>
    </xdr:from>
    <xdr:ext cx="1695450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/>
            <xdr:cNvSpPr txBox="1"/>
          </xdr:nvSpPr>
          <xdr:spPr>
            <a:xfrm>
              <a:off x="4686300" y="785812"/>
              <a:ext cx="169545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2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𝑋</m:t>
                    </m:r>
                    <m:r>
                      <a:rPr lang="pt-BR" sz="12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=1,35−</m:t>
                    </m:r>
                    <m:r>
                      <a:rPr lang="pt-BR" sz="12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𝑇</m:t>
                    </m:r>
                  </m:oMath>
                </m:oMathPara>
              </a14:m>
              <a:endParaRPr lang="pt-BR" sz="1200"/>
            </a:p>
          </xdr:txBody>
        </xdr:sp>
      </mc:Choice>
      <mc:Fallback xmlns="">
        <xdr:sp macro="" textlink="">
          <xdr:nvSpPr>
            <xdr:cNvPr id="6" name="CaixaDeTexto 5"/>
            <xdr:cNvSpPr txBox="1"/>
          </xdr:nvSpPr>
          <xdr:spPr>
            <a:xfrm>
              <a:off x="4686300" y="785812"/>
              <a:ext cx="169545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2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𝑋=1,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pt-BR" sz="12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5−𝑇</a:t>
              </a:r>
              <a:endParaRPr lang="pt-BR" sz="1200"/>
            </a:p>
          </xdr:txBody>
        </xdr:sp>
      </mc:Fallback>
    </mc:AlternateContent>
    <xdr:clientData/>
  </xdr:oneCellAnchor>
  <xdr:oneCellAnchor>
    <xdr:from>
      <xdr:col>2</xdr:col>
      <xdr:colOff>247650</xdr:colOff>
      <xdr:row>10</xdr:row>
      <xdr:rowOff>4762</xdr:rowOff>
    </xdr:from>
    <xdr:ext cx="5362575" cy="60022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aixaDeTexto 6"/>
            <xdr:cNvSpPr txBox="1"/>
          </xdr:nvSpPr>
          <xdr:spPr>
            <a:xfrm>
              <a:off x="2800350" y="1957387"/>
              <a:ext cx="5362575" cy="6002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2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𝑇</m:t>
                    </m:r>
                    <m:r>
                      <a:rPr lang="pt-BR" sz="12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pt-BR" sz="12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m>
                          <m:mPr>
                            <m:mcs>
                              <m:mc>
                                <m:mcPr>
                                  <m:count m:val="2"/>
                                  <m:mcJc m:val="center"/>
                                </m:mcPr>
                              </m:mc>
                            </m:mcs>
                            <m:ctrlPr>
                              <a:rPr lang="pt-BR" sz="12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mPr>
                          <m:mr>
                            <m:e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2,1</m:t>
                              </m:r>
                            </m:e>
                            <m:e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, 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𝑠𝑒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 ∆</m:t>
                              </m:r>
                              <m:r>
                                <a:rPr lang="pt-BR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𝐶𝑃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≤ −3,49%</m:t>
                              </m:r>
                            </m:e>
                          </m:mr>
                          <m:mr>
                            <m:e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−0,1854∗∆</m:t>
                              </m:r>
                              <m:r>
                                <a:rPr lang="pt-BR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𝐶𝑃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+1,453</m:t>
                              </m:r>
                            </m:e>
                            <m:e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, 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𝑠𝑒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−3,49%&lt;∆</m:t>
                              </m:r>
                              <m:r>
                                <a:rPr lang="pt-BR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𝐶𝑃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&lt;7,84</m:t>
                              </m:r>
                            </m:e>
                          </m:mr>
                          <m:mr>
                            <m:e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0</m:t>
                              </m:r>
                            </m:e>
                            <m:e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, 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𝑠𝑒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 ∆</m:t>
                              </m:r>
                              <m:r>
                                <a:rPr lang="pt-BR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𝐶𝑃</m:t>
                              </m:r>
                              <m:r>
                                <a:rPr lang="pt-BR" sz="120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≥ 7,84%</m:t>
                              </m:r>
                            </m:e>
                          </m:mr>
                        </m:m>
                      </m:e>
                    </m:d>
                    <m:r>
                      <a:rPr lang="pt-BR" sz="120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%</m:t>
                    </m:r>
                  </m:oMath>
                </m:oMathPara>
              </a14:m>
              <a:endParaRPr lang="pt-BR" sz="1200"/>
            </a:p>
          </xdr:txBody>
        </xdr:sp>
      </mc:Choice>
      <mc:Fallback>
        <xdr:sp macro="" textlink="">
          <xdr:nvSpPr>
            <xdr:cNvPr id="7" name="CaixaDeTexto 6"/>
            <xdr:cNvSpPr txBox="1"/>
          </xdr:nvSpPr>
          <xdr:spPr>
            <a:xfrm>
              <a:off x="2800350" y="1957387"/>
              <a:ext cx="5362575" cy="6002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t-BR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𝑇={■8(2,1&amp;, 𝑠𝑒 ∆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𝐶𝑃</a:t>
              </a:r>
              <a:r>
                <a:rPr lang="pt-BR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≤ −3,49%@−0,1854∗∆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𝐶𝑃</a:t>
              </a:r>
              <a:r>
                <a:rPr lang="pt-BR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+1,453&amp;, 𝑠𝑒−3,49%&lt;∆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𝐶𝑃</a:t>
              </a:r>
              <a:r>
                <a:rPr lang="pt-BR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&lt;7,84@0&amp;, 𝑠𝑒 ∆</a:t>
              </a:r>
              <a:r>
                <a:rPr lang="pt-BR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𝐶𝑃</a:t>
              </a:r>
              <a:r>
                <a:rPr lang="pt-BR" sz="12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≥ 7,84%)┤%</a:t>
              </a:r>
              <a:endParaRPr lang="pt-BR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showGridLines="0" tabSelected="1" zoomScaleNormal="100" workbookViewId="0">
      <selection activeCell="H31" sqref="H31"/>
    </sheetView>
  </sheetViews>
  <sheetFormatPr defaultRowHeight="15"/>
  <cols>
    <col min="2" max="2" width="29.140625" customWidth="1"/>
    <col min="3" max="3" width="24.5703125" customWidth="1"/>
    <col min="5" max="5" width="23.5703125" bestFit="1" customWidth="1"/>
    <col min="6" max="6" width="14.140625" bestFit="1" customWidth="1"/>
    <col min="8" max="8" width="22.28515625" bestFit="1" customWidth="1"/>
    <col min="9" max="9" width="14.140625" bestFit="1" customWidth="1"/>
  </cols>
  <sheetData>
    <row r="1" spans="2:9" ht="15.75" thickBot="1"/>
    <row r="2" spans="2:9" ht="17.25">
      <c r="B2" s="39" t="s">
        <v>3</v>
      </c>
      <c r="C2" s="40"/>
      <c r="D2" s="40"/>
      <c r="E2" s="40"/>
      <c r="F2" s="40"/>
      <c r="G2" s="40"/>
      <c r="H2" s="40"/>
      <c r="I2" s="41"/>
    </row>
    <row r="3" spans="2:9">
      <c r="B3" s="2"/>
      <c r="C3" s="3"/>
      <c r="D3" s="3"/>
      <c r="E3" s="3"/>
      <c r="F3" s="3"/>
      <c r="G3" s="3"/>
      <c r="H3" s="3"/>
      <c r="I3" s="4"/>
    </row>
    <row r="4" spans="2:9">
      <c r="B4" s="2"/>
      <c r="C4" s="3"/>
      <c r="D4" s="3"/>
      <c r="E4" s="3"/>
      <c r="F4" s="3"/>
      <c r="G4" s="3"/>
      <c r="H4" s="3"/>
      <c r="I4" s="4"/>
    </row>
    <row r="5" spans="2:9">
      <c r="B5" s="2"/>
      <c r="C5" s="3"/>
      <c r="D5" s="3"/>
      <c r="E5" s="3"/>
      <c r="F5" s="3"/>
      <c r="G5" s="3"/>
      <c r="H5" s="3"/>
      <c r="I5" s="4"/>
    </row>
    <row r="6" spans="2:9">
      <c r="B6" s="2"/>
      <c r="C6" s="3"/>
      <c r="D6" s="3"/>
      <c r="E6" s="3"/>
      <c r="F6" s="3"/>
      <c r="G6" s="3"/>
      <c r="H6" s="3"/>
      <c r="I6" s="4"/>
    </row>
    <row r="7" spans="2:9">
      <c r="B7" s="2"/>
      <c r="C7" s="3"/>
      <c r="D7" s="3"/>
      <c r="E7" s="3"/>
      <c r="F7" s="3"/>
      <c r="G7" s="3"/>
      <c r="H7" s="3"/>
      <c r="I7" s="4"/>
    </row>
    <row r="8" spans="2:9" ht="15.75">
      <c r="B8" s="42" t="s">
        <v>27</v>
      </c>
      <c r="C8" s="43"/>
      <c r="D8" s="43"/>
      <c r="E8" s="43"/>
      <c r="F8" s="43"/>
      <c r="G8" s="43"/>
      <c r="H8" s="43"/>
      <c r="I8" s="44"/>
    </row>
    <row r="9" spans="2:9">
      <c r="B9" s="2"/>
      <c r="C9" s="3"/>
      <c r="D9" s="3"/>
      <c r="E9" s="3"/>
      <c r="F9" s="3"/>
      <c r="G9" s="3"/>
      <c r="H9" s="3"/>
      <c r="I9" s="4"/>
    </row>
    <row r="10" spans="2:9">
      <c r="B10" s="2"/>
      <c r="C10" s="3"/>
      <c r="D10" s="3"/>
      <c r="E10" s="3"/>
      <c r="F10" s="3"/>
      <c r="G10" s="3"/>
      <c r="H10" s="3"/>
      <c r="I10" s="4"/>
    </row>
    <row r="11" spans="2:9">
      <c r="B11" s="2"/>
      <c r="C11" s="3"/>
      <c r="D11" s="3"/>
      <c r="E11" s="3"/>
      <c r="F11" s="3"/>
      <c r="G11" s="3"/>
      <c r="H11" s="3"/>
      <c r="I11" s="4"/>
    </row>
    <row r="12" spans="2:9">
      <c r="B12" s="2"/>
      <c r="C12" s="3"/>
      <c r="D12" s="3"/>
      <c r="E12" s="3"/>
      <c r="F12" s="3"/>
      <c r="G12" s="3"/>
      <c r="H12" s="3"/>
      <c r="I12" s="4"/>
    </row>
    <row r="13" spans="2:9">
      <c r="B13" s="2"/>
      <c r="C13" s="3"/>
      <c r="D13" s="3"/>
      <c r="E13" s="3"/>
      <c r="F13" s="3"/>
      <c r="G13" s="3"/>
      <c r="H13" s="3"/>
      <c r="I13" s="4"/>
    </row>
    <row r="14" spans="2:9">
      <c r="B14" s="2"/>
      <c r="C14" s="3"/>
      <c r="D14" s="3"/>
      <c r="E14" s="3"/>
      <c r="F14" s="3"/>
      <c r="G14" s="3"/>
      <c r="H14" s="3"/>
      <c r="I14" s="4"/>
    </row>
    <row r="15" spans="2:9">
      <c r="B15" s="2"/>
      <c r="C15" s="3"/>
      <c r="D15" s="3"/>
      <c r="E15" s="3"/>
      <c r="F15" s="3"/>
      <c r="G15" s="3"/>
      <c r="H15" s="3"/>
      <c r="I15" s="4"/>
    </row>
    <row r="16" spans="2:9">
      <c r="B16" s="2"/>
      <c r="C16" s="3"/>
      <c r="D16" s="3"/>
      <c r="E16" s="3"/>
      <c r="F16" s="3"/>
      <c r="G16" s="3"/>
      <c r="H16" s="3"/>
      <c r="I16" s="4"/>
    </row>
    <row r="17" spans="2:12">
      <c r="B17" s="2"/>
      <c r="C17" s="3"/>
      <c r="D17" s="3"/>
      <c r="E17" s="3"/>
      <c r="F17" s="3"/>
      <c r="G17" s="3"/>
      <c r="H17" s="3"/>
      <c r="I17" s="4"/>
    </row>
    <row r="18" spans="2:12">
      <c r="B18" s="45" t="s">
        <v>1</v>
      </c>
      <c r="C18" s="46"/>
      <c r="D18" s="3"/>
      <c r="E18" s="47" t="s">
        <v>2</v>
      </c>
      <c r="F18" s="46"/>
      <c r="G18" s="3"/>
      <c r="H18" s="47" t="s">
        <v>4</v>
      </c>
      <c r="I18" s="48"/>
    </row>
    <row r="19" spans="2:12">
      <c r="B19" s="8"/>
      <c r="C19" s="13"/>
      <c r="D19" s="3"/>
      <c r="E19" s="10"/>
      <c r="F19" s="13"/>
      <c r="G19" s="3"/>
      <c r="H19" s="10"/>
      <c r="I19" s="9"/>
    </row>
    <row r="20" spans="2:12">
      <c r="B20" s="8" t="s">
        <v>26</v>
      </c>
      <c r="C20" s="13" t="s">
        <v>0</v>
      </c>
      <c r="D20" s="3"/>
      <c r="E20" s="10" t="s">
        <v>26</v>
      </c>
      <c r="F20" s="13" t="s">
        <v>0</v>
      </c>
      <c r="G20" s="3"/>
      <c r="H20" s="10" t="s">
        <v>26</v>
      </c>
      <c r="I20" s="9" t="s">
        <v>0</v>
      </c>
    </row>
    <row r="21" spans="2:12">
      <c r="B21" s="8"/>
      <c r="C21" s="13"/>
      <c r="D21" s="3"/>
      <c r="E21" s="10"/>
      <c r="F21" s="13"/>
      <c r="G21" s="3"/>
      <c r="H21" s="10"/>
      <c r="I21" s="9"/>
    </row>
    <row r="22" spans="2:12">
      <c r="B22" s="8">
        <v>-15</v>
      </c>
      <c r="C22" s="13">
        <v>2.1</v>
      </c>
      <c r="D22" s="3"/>
      <c r="E22" s="10">
        <v>-1</v>
      </c>
      <c r="F22" s="16">
        <v>2.1</v>
      </c>
      <c r="G22" s="3"/>
      <c r="H22" s="10">
        <v>-9</v>
      </c>
      <c r="I22" s="9">
        <v>2.1</v>
      </c>
    </row>
    <row r="23" spans="2:12">
      <c r="B23" s="8">
        <v>-1</v>
      </c>
      <c r="C23" s="13">
        <v>2.1</v>
      </c>
      <c r="D23" s="3"/>
      <c r="E23" s="10">
        <f>(-1+0.3)/2</f>
        <v>-0.35</v>
      </c>
      <c r="F23" s="16">
        <v>1.5</v>
      </c>
      <c r="G23" s="3"/>
      <c r="H23" s="10">
        <v>-3.49</v>
      </c>
      <c r="I23" s="9">
        <v>2.1</v>
      </c>
    </row>
    <row r="24" spans="2:12">
      <c r="B24" s="8">
        <v>-1</v>
      </c>
      <c r="C24" s="13">
        <v>1.5</v>
      </c>
      <c r="D24" s="3"/>
      <c r="E24" s="10">
        <f>(0.3+1.9)/2</f>
        <v>1.0999999999999999</v>
      </c>
      <c r="F24" s="16">
        <v>0.9</v>
      </c>
      <c r="G24" s="3"/>
      <c r="H24" s="10">
        <v>7.84</v>
      </c>
      <c r="I24" s="9">
        <v>0</v>
      </c>
    </row>
    <row r="25" spans="2:12">
      <c r="B25" s="8">
        <v>0.3</v>
      </c>
      <c r="C25" s="13">
        <v>1.5</v>
      </c>
      <c r="D25" s="3"/>
      <c r="E25" s="10">
        <f>(1.9+3.5)/2</f>
        <v>2.7</v>
      </c>
      <c r="F25" s="16">
        <v>0.72</v>
      </c>
      <c r="G25" s="3"/>
      <c r="H25" s="11">
        <v>9</v>
      </c>
      <c r="I25" s="12">
        <v>0</v>
      </c>
    </row>
    <row r="26" spans="2:12">
      <c r="B26" s="8">
        <v>0.3</v>
      </c>
      <c r="C26" s="13">
        <v>0.9</v>
      </c>
      <c r="D26" s="3"/>
      <c r="E26" s="10">
        <f>(3.5+5.15)/2</f>
        <v>4.3250000000000002</v>
      </c>
      <c r="F26" s="16">
        <v>0.54</v>
      </c>
      <c r="G26" s="3"/>
      <c r="H26" s="3"/>
      <c r="I26" s="4"/>
    </row>
    <row r="27" spans="2:12">
      <c r="B27" s="8">
        <v>1.9</v>
      </c>
      <c r="C27" s="13">
        <v>0.9</v>
      </c>
      <c r="D27" s="3"/>
      <c r="E27" s="10">
        <f>(5.15+6.75)/2</f>
        <v>5.95</v>
      </c>
      <c r="F27" s="16">
        <v>0.36</v>
      </c>
      <c r="G27" s="3"/>
      <c r="H27" s="3"/>
      <c r="I27" s="4"/>
    </row>
    <row r="28" spans="2:12">
      <c r="B28" s="8">
        <v>1.9</v>
      </c>
      <c r="C28" s="13">
        <v>0.72</v>
      </c>
      <c r="D28" s="3"/>
      <c r="E28" s="10">
        <f>(6.75+8.4)/2</f>
        <v>7.5750000000000002</v>
      </c>
      <c r="F28" s="16">
        <v>0.18</v>
      </c>
      <c r="G28" s="3"/>
      <c r="H28" s="3"/>
      <c r="I28" s="4"/>
      <c r="L28" t="s">
        <v>25</v>
      </c>
    </row>
    <row r="29" spans="2:12">
      <c r="B29" s="8">
        <v>3.5</v>
      </c>
      <c r="C29" s="13">
        <v>0.72</v>
      </c>
      <c r="D29" s="3"/>
      <c r="E29" s="11">
        <v>8.4</v>
      </c>
      <c r="F29" s="17">
        <v>0</v>
      </c>
      <c r="G29" s="3"/>
      <c r="H29" s="3"/>
      <c r="I29" s="4"/>
    </row>
    <row r="30" spans="2:12">
      <c r="B30" s="8">
        <v>3.5</v>
      </c>
      <c r="C30" s="13">
        <v>0.54</v>
      </c>
      <c r="D30" s="3"/>
      <c r="E30" s="3"/>
      <c r="F30" s="18"/>
      <c r="G30" s="3"/>
      <c r="H30" s="3"/>
      <c r="I30" s="4"/>
    </row>
    <row r="31" spans="2:12">
      <c r="B31" s="8">
        <v>5.15</v>
      </c>
      <c r="C31" s="13">
        <v>0.54</v>
      </c>
      <c r="D31" s="3"/>
      <c r="E31" s="3"/>
      <c r="F31" s="3"/>
      <c r="G31" s="3"/>
      <c r="H31" s="3"/>
      <c r="I31" s="4"/>
    </row>
    <row r="32" spans="2:12">
      <c r="B32" s="8">
        <v>5.15</v>
      </c>
      <c r="C32" s="13">
        <v>0.36</v>
      </c>
      <c r="D32" s="3"/>
      <c r="E32" s="3"/>
      <c r="F32" s="3"/>
      <c r="G32" s="3"/>
      <c r="H32" s="3"/>
      <c r="I32" s="4"/>
    </row>
    <row r="33" spans="2:9">
      <c r="B33" s="8">
        <v>6.75</v>
      </c>
      <c r="C33" s="13">
        <v>0.36</v>
      </c>
      <c r="D33" s="3"/>
      <c r="E33" s="3"/>
      <c r="F33" s="3"/>
      <c r="G33" s="3"/>
      <c r="H33" s="3"/>
      <c r="I33" s="4"/>
    </row>
    <row r="34" spans="2:9">
      <c r="B34" s="8">
        <v>6.75</v>
      </c>
      <c r="C34" s="13">
        <v>0.18</v>
      </c>
      <c r="D34" s="3"/>
      <c r="E34" s="3"/>
      <c r="F34" s="3"/>
      <c r="G34" s="3"/>
      <c r="H34" s="3"/>
      <c r="I34" s="4"/>
    </row>
    <row r="35" spans="2:9">
      <c r="B35" s="8">
        <v>8.4</v>
      </c>
      <c r="C35" s="13">
        <v>0.18</v>
      </c>
      <c r="D35" s="3"/>
      <c r="E35" s="3"/>
      <c r="F35" s="3"/>
      <c r="G35" s="3"/>
      <c r="H35" s="3"/>
      <c r="I35" s="4"/>
    </row>
    <row r="36" spans="2:9">
      <c r="B36" s="8">
        <v>8.4</v>
      </c>
      <c r="C36" s="13">
        <v>0</v>
      </c>
      <c r="D36" s="3"/>
      <c r="E36" s="3"/>
      <c r="F36" s="3"/>
      <c r="G36" s="3"/>
      <c r="H36" s="3"/>
      <c r="I36" s="4"/>
    </row>
    <row r="37" spans="2:9">
      <c r="B37" s="14">
        <v>15</v>
      </c>
      <c r="C37" s="15">
        <v>0</v>
      </c>
      <c r="D37" s="3"/>
      <c r="E37" s="3"/>
      <c r="F37" s="3"/>
      <c r="G37" s="3"/>
      <c r="H37" s="3"/>
      <c r="I37" s="4"/>
    </row>
    <row r="38" spans="2:9" ht="15.75" thickBot="1">
      <c r="B38" s="5"/>
      <c r="C38" s="6"/>
      <c r="D38" s="6"/>
      <c r="E38" s="6"/>
      <c r="F38" s="6"/>
      <c r="G38" s="6"/>
      <c r="H38" s="6"/>
      <c r="I38" s="7"/>
    </row>
  </sheetData>
  <mergeCells count="5">
    <mergeCell ref="B2:I2"/>
    <mergeCell ref="B8:I8"/>
    <mergeCell ref="B18:C18"/>
    <mergeCell ref="E18:F18"/>
    <mergeCell ref="H18:I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B9" sqref="B9:H9"/>
    </sheetView>
  </sheetViews>
  <sheetFormatPr defaultRowHeight="15"/>
  <cols>
    <col min="1" max="1" width="48.85546875" bestFit="1" customWidth="1"/>
    <col min="2" max="2" width="16.85546875" bestFit="1" customWidth="1"/>
    <col min="3" max="3" width="11.5703125" customWidth="1"/>
    <col min="4" max="4" width="16.85546875" bestFit="1" customWidth="1"/>
    <col min="5" max="5" width="6.140625" bestFit="1" customWidth="1"/>
    <col min="6" max="6" width="18" bestFit="1" customWidth="1"/>
    <col min="7" max="7" width="6.140625" bestFit="1" customWidth="1"/>
    <col min="8" max="8" width="18" bestFit="1" customWidth="1"/>
    <col min="9" max="9" width="6.140625" bestFit="1" customWidth="1"/>
    <col min="12" max="12" width="15.85546875" bestFit="1" customWidth="1"/>
  </cols>
  <sheetData>
    <row r="1" spans="1:12">
      <c r="A1" s="49" t="s">
        <v>5</v>
      </c>
      <c r="B1" s="50" t="s">
        <v>6</v>
      </c>
      <c r="C1" s="50"/>
      <c r="D1" s="50"/>
      <c r="E1" s="50"/>
      <c r="F1" s="50"/>
      <c r="G1" s="50"/>
      <c r="H1" s="50"/>
      <c r="I1" s="50"/>
    </row>
    <row r="2" spans="1:12">
      <c r="A2" s="49"/>
      <c r="B2" s="50">
        <v>2015</v>
      </c>
      <c r="C2" s="50"/>
      <c r="D2" s="50">
        <v>2016</v>
      </c>
      <c r="E2" s="50"/>
      <c r="F2" s="50">
        <v>2017</v>
      </c>
      <c r="G2" s="50"/>
      <c r="H2" s="50">
        <v>2018</v>
      </c>
      <c r="I2" s="50"/>
    </row>
    <row r="3" spans="1:12">
      <c r="A3" s="21" t="s">
        <v>7</v>
      </c>
      <c r="B3" s="22">
        <v>11011036</v>
      </c>
      <c r="C3" s="22"/>
      <c r="D3" s="23">
        <v>9700005</v>
      </c>
      <c r="E3" s="22"/>
      <c r="F3" s="23">
        <v>9254927</v>
      </c>
      <c r="H3" s="23">
        <v>8560892</v>
      </c>
      <c r="I3" s="22"/>
      <c r="L3" s="31"/>
    </row>
    <row r="4" spans="1:12">
      <c r="A4" s="21"/>
      <c r="B4" s="25">
        <v>85547264.604979455</v>
      </c>
      <c r="C4" s="26">
        <f>B4/SUM(B$4,B$6,B$8,B$10,B$12,B$14)</f>
        <v>0.34710976807685517</v>
      </c>
      <c r="D4" s="25">
        <v>92956625.260000005</v>
      </c>
      <c r="E4" s="27">
        <f>D4/SUM(D$4,D$6,D$8,D$10,D$12,D$14)</f>
        <v>0.34710976807685517</v>
      </c>
      <c r="F4" s="28">
        <v>134973596.13999999</v>
      </c>
      <c r="G4" s="27">
        <f>F4/SUM(F$4,F$6,F$8,F$10,F$12,F$14)</f>
        <v>0.36719645594176731</v>
      </c>
      <c r="H4" s="28">
        <v>128201160.3</v>
      </c>
      <c r="I4" s="27">
        <f>H4/SUM(H$4,H$6,H$8,H$10,H$12,H$14)</f>
        <v>0.34074450373328757</v>
      </c>
      <c r="L4" s="31"/>
    </row>
    <row r="5" spans="1:12">
      <c r="A5" s="21" t="s">
        <v>8</v>
      </c>
      <c r="B5" s="22">
        <v>3960279</v>
      </c>
      <c r="C5" s="22"/>
      <c r="D5" s="22">
        <v>4188373</v>
      </c>
      <c r="E5" s="22"/>
      <c r="F5" s="23">
        <v>4133368</v>
      </c>
      <c r="G5" s="27"/>
      <c r="H5" s="23">
        <v>4418318</v>
      </c>
      <c r="I5" s="27"/>
      <c r="L5" s="31"/>
    </row>
    <row r="6" spans="1:12">
      <c r="A6" s="21"/>
      <c r="B6" s="25">
        <v>69943170.846855029</v>
      </c>
      <c r="C6" s="26">
        <f>B6/SUM(B$4,B$6,B$8,B$10,B$12,B$14)</f>
        <v>0.28379583991746432</v>
      </c>
      <c r="D6" s="25">
        <v>76001040.5</v>
      </c>
      <c r="E6" s="26">
        <f>D6/SUM(D$4,D$6,D$8,D$10,D$12,D$14)</f>
        <v>0.28379583991746427</v>
      </c>
      <c r="F6" s="28">
        <v>109379316.89</v>
      </c>
      <c r="G6" s="27">
        <f t="shared" ref="G6:I14" si="0">F6/SUM(F$4,F$6,F$8,F$10,F$12,F$14)</f>
        <v>0.29756706988587683</v>
      </c>
      <c r="H6" s="28">
        <v>120737812.93000001</v>
      </c>
      <c r="I6" s="27">
        <f t="shared" si="0"/>
        <v>0.32090775194548193</v>
      </c>
      <c r="L6" s="31"/>
    </row>
    <row r="7" spans="1:12">
      <c r="A7" s="21" t="s">
        <v>9</v>
      </c>
      <c r="B7" s="22">
        <v>1801188</v>
      </c>
      <c r="C7" s="22"/>
      <c r="D7" s="22">
        <v>2072362</v>
      </c>
      <c r="E7" s="22"/>
      <c r="F7" s="23">
        <v>2683929</v>
      </c>
      <c r="G7" s="27"/>
      <c r="H7" s="23">
        <v>1951477</v>
      </c>
      <c r="I7" s="27"/>
    </row>
    <row r="8" spans="1:12">
      <c r="A8" s="21"/>
      <c r="B8" s="25">
        <v>9634188.8618156593</v>
      </c>
      <c r="C8" s="26">
        <f>B8/SUM(B$4,B$6,B$8,B$10,B$12,B$14)</f>
        <v>3.9090917481408326E-2</v>
      </c>
      <c r="D8" s="25">
        <v>10468618.58</v>
      </c>
      <c r="E8" s="26">
        <f>D8/SUM(D$4,D$6,D$8,D$10,D$12,D$14)</f>
        <v>3.9090917481408326E-2</v>
      </c>
      <c r="F8" s="25">
        <v>12457605.810000001</v>
      </c>
      <c r="G8" s="27">
        <f t="shared" si="0"/>
        <v>3.3890989302876921E-2</v>
      </c>
      <c r="H8" s="25">
        <v>10015587.449999999</v>
      </c>
      <c r="I8" s="27">
        <f t="shared" si="0"/>
        <v>2.6620323616896261E-2</v>
      </c>
    </row>
    <row r="9" spans="1:12">
      <c r="A9" s="30" t="s">
        <v>23</v>
      </c>
      <c r="B9">
        <v>140056</v>
      </c>
      <c r="C9" s="22"/>
      <c r="D9">
        <v>138192</v>
      </c>
      <c r="E9" s="22"/>
      <c r="F9">
        <v>169433</v>
      </c>
      <c r="G9" s="27"/>
      <c r="H9">
        <v>79218</v>
      </c>
      <c r="I9" s="27"/>
      <c r="J9" s="22"/>
    </row>
    <row r="10" spans="1:12">
      <c r="A10" s="21"/>
      <c r="B10" s="25">
        <v>191868.5716592668</v>
      </c>
      <c r="C10" s="26">
        <f>B10/SUM(B$4,B$6,B$8,B$10,B$12,B$14)</f>
        <v>7.7851063639981083E-4</v>
      </c>
      <c r="D10" s="25">
        <v>208486.56</v>
      </c>
      <c r="E10" s="26">
        <f>D10/SUM(D$4,D$6,D$8,D$10,D$12,D$14)</f>
        <v>7.7851063639981094E-4</v>
      </c>
      <c r="F10" s="25">
        <v>298587.40000000002</v>
      </c>
      <c r="G10" s="27">
        <f t="shared" si="0"/>
        <v>8.1230876411667692E-4</v>
      </c>
      <c r="H10" s="31">
        <v>296406.21000000002</v>
      </c>
      <c r="I10" s="27">
        <f t="shared" si="0"/>
        <v>7.8781492065727141E-4</v>
      </c>
    </row>
    <row r="11" spans="1:12">
      <c r="A11" s="21" t="s">
        <v>10</v>
      </c>
      <c r="B11" s="22">
        <v>106844</v>
      </c>
      <c r="C11" s="22"/>
      <c r="D11" s="22">
        <v>98579</v>
      </c>
      <c r="E11" s="22"/>
      <c r="F11" s="19">
        <v>94244</v>
      </c>
      <c r="G11" s="27"/>
      <c r="H11" s="19">
        <v>86389</v>
      </c>
      <c r="I11" s="27"/>
    </row>
    <row r="12" spans="1:12">
      <c r="A12" s="21"/>
      <c r="B12" s="25">
        <v>25081205.57828958</v>
      </c>
      <c r="C12" s="26">
        <f>B12/SUM(B$4,B$6,B$8,B$10,B$12,B$14)</f>
        <v>0.10176750234584679</v>
      </c>
      <c r="D12" s="25">
        <v>27253521.649999999</v>
      </c>
      <c r="E12" s="26">
        <f>D12/SUM(D$4,D$6,D$8,D$10,D$12,D$14)</f>
        <v>0.10176750234584678</v>
      </c>
      <c r="F12" s="25">
        <v>36054019.950000003</v>
      </c>
      <c r="G12" s="27">
        <f t="shared" si="0"/>
        <v>9.8085171668404345E-2</v>
      </c>
      <c r="H12" s="25">
        <v>33714516.739999995</v>
      </c>
      <c r="I12" s="27">
        <f t="shared" si="0"/>
        <v>8.9609456328601692E-2</v>
      </c>
    </row>
    <row r="13" spans="1:12">
      <c r="A13" s="21" t="s">
        <v>11</v>
      </c>
      <c r="B13" s="22">
        <v>25862</v>
      </c>
      <c r="C13" s="22"/>
      <c r="D13" s="22">
        <v>27882</v>
      </c>
      <c r="E13" s="22"/>
      <c r="F13" s="19">
        <v>25867</v>
      </c>
      <c r="G13" s="27"/>
      <c r="H13" s="19">
        <v>27325</v>
      </c>
      <c r="I13" s="27"/>
    </row>
    <row r="14" spans="1:12">
      <c r="A14" s="21"/>
      <c r="B14" s="25">
        <v>56058242.776401028</v>
      </c>
      <c r="C14" s="26">
        <f>B14/SUM(B$4,B$6,B$8,B$10,B$12,B$14)</f>
        <v>0.22745746154202562</v>
      </c>
      <c r="D14" s="25">
        <v>60913520.620000005</v>
      </c>
      <c r="E14" s="26">
        <f>D14/SUM(D$4,D$6,D$8,D$10,D$12,D$14)</f>
        <v>0.22745746154202559</v>
      </c>
      <c r="F14" s="25">
        <v>74415574.409999996</v>
      </c>
      <c r="G14" s="27">
        <f t="shared" si="0"/>
        <v>0.20244800443695782</v>
      </c>
      <c r="H14" s="25">
        <v>83272897.019999996</v>
      </c>
      <c r="I14" s="27">
        <f t="shared" si="0"/>
        <v>0.22133014945507529</v>
      </c>
    </row>
    <row r="16" spans="1:12">
      <c r="A16" s="21" t="s">
        <v>24</v>
      </c>
    </row>
    <row r="17" spans="1:9">
      <c r="A17" s="21" t="s">
        <v>12</v>
      </c>
      <c r="C17" s="32"/>
      <c r="D17" s="33">
        <f>D3/B3</f>
        <v>0.88093481848574462</v>
      </c>
      <c r="E17" s="20">
        <f>AVERAGE(C4,E4)</f>
        <v>0.34710976807685517</v>
      </c>
      <c r="F17" s="33">
        <f>F3/D3</f>
        <v>0.95411569375479699</v>
      </c>
      <c r="G17" s="20">
        <f>AVERAGE(E4,G4)</f>
        <v>0.35715311200931121</v>
      </c>
      <c r="H17" s="33">
        <f>H3/F3</f>
        <v>0.925009132973172</v>
      </c>
      <c r="I17" s="20">
        <f>AVERAGE(G4,I4)</f>
        <v>0.35397047983752744</v>
      </c>
    </row>
    <row r="18" spans="1:9">
      <c r="A18" s="21" t="s">
        <v>13</v>
      </c>
      <c r="C18" s="32"/>
      <c r="D18" s="33">
        <f>D5/B5</f>
        <v>1.0575954370891545</v>
      </c>
      <c r="E18" s="20">
        <f>AVERAGE(C6,E6)</f>
        <v>0.28379583991746427</v>
      </c>
      <c r="F18" s="33">
        <f>F5/D5</f>
        <v>0.98686721550349021</v>
      </c>
      <c r="G18" s="20">
        <f>AVERAGE(E6,G6)</f>
        <v>0.29068145490167052</v>
      </c>
      <c r="H18" s="33">
        <f>H5/F5</f>
        <v>1.0689389379314884</v>
      </c>
      <c r="I18" s="20">
        <f>AVERAGE(G6,I6)</f>
        <v>0.30923741091567936</v>
      </c>
    </row>
    <row r="19" spans="1:9">
      <c r="A19" s="21" t="s">
        <v>14</v>
      </c>
      <c r="C19" s="32"/>
      <c r="D19" s="33">
        <f>D7/B7</f>
        <v>1.1505528573363801</v>
      </c>
      <c r="E19" s="20">
        <f>AVERAGE(C8,E8)</f>
        <v>3.9090917481408326E-2</v>
      </c>
      <c r="F19" s="33">
        <f>F7/D7</f>
        <v>1.2951062603927306</v>
      </c>
      <c r="G19" s="20">
        <f>AVERAGE(E8,G8)</f>
        <v>3.6490953392142624E-2</v>
      </c>
      <c r="H19" s="33">
        <f>H7/F7</f>
        <v>0.72709710279221251</v>
      </c>
      <c r="I19" s="20">
        <f>AVERAGE(G8,I8)</f>
        <v>3.0255656459886593E-2</v>
      </c>
    </row>
    <row r="20" spans="1:9">
      <c r="A20" s="21" t="s">
        <v>15</v>
      </c>
      <c r="C20" s="32"/>
      <c r="D20" s="33">
        <f>D9/B9</f>
        <v>0.98669103787056611</v>
      </c>
      <c r="E20" s="20">
        <f>AVERAGE(C10,E10)</f>
        <v>7.7851063639981094E-4</v>
      </c>
      <c r="F20" s="33">
        <f>F9/D9</f>
        <v>1.2260695264559454</v>
      </c>
      <c r="G20" s="20">
        <f>AVERAGE(E10,G10)</f>
        <v>7.9540970025824393E-4</v>
      </c>
      <c r="H20" s="33">
        <f>H9/F9</f>
        <v>0.46754764420154277</v>
      </c>
      <c r="I20" s="20">
        <f>AVERAGE(G10,I10)</f>
        <v>8.0006184238697411E-4</v>
      </c>
    </row>
    <row r="21" spans="1:9">
      <c r="A21" s="21" t="s">
        <v>16</v>
      </c>
      <c r="C21" s="32"/>
      <c r="D21" s="33">
        <f>D11/B11</f>
        <v>0.92264422896933851</v>
      </c>
      <c r="E21" s="20">
        <f>AVERAGE(C12,E12)</f>
        <v>0.10176750234584678</v>
      </c>
      <c r="F21" s="33">
        <f>F11/D11</f>
        <v>0.95602511691130976</v>
      </c>
      <c r="G21" s="20">
        <f>AVERAGE(E12,G12)</f>
        <v>9.9926337007125554E-2</v>
      </c>
      <c r="H21" s="33">
        <f>H11/F11</f>
        <v>0.91665251899325151</v>
      </c>
      <c r="I21" s="20">
        <f>AVERAGE(G12,I12)</f>
        <v>9.3847313998503018E-2</v>
      </c>
    </row>
    <row r="22" spans="1:9">
      <c r="A22" s="21" t="s">
        <v>17</v>
      </c>
      <c r="C22" s="32"/>
      <c r="D22" s="33">
        <f>D13/B13</f>
        <v>1.0781068749516665</v>
      </c>
      <c r="E22" s="20">
        <f>AVERAGE(C14,E14)</f>
        <v>0.22745746154202562</v>
      </c>
      <c r="F22" s="33">
        <f>F13/D13</f>
        <v>0.92773115271501327</v>
      </c>
      <c r="G22" s="20">
        <f>AVERAGE(E14,G14)</f>
        <v>0.21495273298949169</v>
      </c>
      <c r="H22" s="33">
        <f>H13/F13</f>
        <v>1.05636525302509</v>
      </c>
      <c r="I22" s="20">
        <f>AVERAGE(G14,I14)</f>
        <v>0.21188907694601655</v>
      </c>
    </row>
    <row r="24" spans="1:9">
      <c r="A24" s="21" t="s">
        <v>18</v>
      </c>
      <c r="C24" s="32"/>
      <c r="D24" s="33">
        <f>D17*E17+D18*E18+D19*E19+D20*E20+D21*E21+D22*E22</f>
        <v>0.99078523395249629</v>
      </c>
      <c r="E24" s="33"/>
      <c r="F24" s="33">
        <f>F17*G17+F18*G18+F19*G19+F20*G20+F21*G21+F22*G22</f>
        <v>0.97081471179450063</v>
      </c>
      <c r="G24" s="35"/>
      <c r="H24" s="33">
        <f>H17*I17+H18*I18+H19*I19+H20*I20+H21*I21+H22*I22</f>
        <v>0.99021233858899227</v>
      </c>
      <c r="I24" s="1"/>
    </row>
    <row r="25" spans="1:9">
      <c r="A25" s="21" t="s">
        <v>19</v>
      </c>
      <c r="D25" s="36"/>
      <c r="H25" s="36">
        <f>(H24*F24*D24)^(1/3)-1</f>
        <v>-1.6106550022297883E-2</v>
      </c>
    </row>
    <row r="26" spans="1:9">
      <c r="A26" s="21" t="s">
        <v>0</v>
      </c>
      <c r="C26" s="32"/>
      <c r="D26" s="32"/>
      <c r="E26" s="32"/>
      <c r="F26" s="1"/>
      <c r="G26" s="1"/>
      <c r="H26" s="33">
        <f>MIN(MAX((-0.1854*H25*100+1.4528),0),2.1)</f>
        <v>1.7514154374134028</v>
      </c>
      <c r="I26" s="1"/>
    </row>
    <row r="27" spans="1:9">
      <c r="A27" s="21" t="s">
        <v>20</v>
      </c>
      <c r="C27" s="32"/>
      <c r="D27" s="32"/>
      <c r="E27" s="32"/>
      <c r="F27" s="1"/>
      <c r="G27" s="1"/>
      <c r="H27" s="37">
        <f>(1.35-H26)/100</f>
        <v>-4.0141543741340265E-3</v>
      </c>
      <c r="I27" s="1"/>
    </row>
    <row r="31" spans="1:9">
      <c r="C31" s="38"/>
    </row>
  </sheetData>
  <mergeCells count="6">
    <mergeCell ref="A1:A2"/>
    <mergeCell ref="B1:I1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21" sqref="B21"/>
    </sheetView>
  </sheetViews>
  <sheetFormatPr defaultRowHeight="15"/>
  <cols>
    <col min="1" max="1" width="48.85546875" bestFit="1" customWidth="1"/>
    <col min="2" max="2" width="16.85546875" bestFit="1" customWidth="1"/>
    <col min="3" max="3" width="4.5703125" bestFit="1" customWidth="1"/>
    <col min="4" max="4" width="16.85546875" bestFit="1" customWidth="1"/>
    <col min="5" max="5" width="4.5703125" bestFit="1" customWidth="1"/>
    <col min="6" max="6" width="18" bestFit="1" customWidth="1"/>
    <col min="7" max="7" width="4.5703125" bestFit="1" customWidth="1"/>
    <col min="8" max="8" width="18" bestFit="1" customWidth="1"/>
    <col min="9" max="9" width="4.5703125" bestFit="1" customWidth="1"/>
  </cols>
  <sheetData>
    <row r="1" spans="1:10">
      <c r="A1" s="49" t="s">
        <v>5</v>
      </c>
      <c r="B1" s="50" t="s">
        <v>21</v>
      </c>
      <c r="C1" s="50"/>
      <c r="D1" s="50"/>
      <c r="E1" s="50"/>
      <c r="F1" s="50"/>
      <c r="G1" s="50"/>
      <c r="H1" s="50"/>
      <c r="I1" s="50"/>
    </row>
    <row r="2" spans="1:10">
      <c r="A2" s="49"/>
      <c r="B2" s="50">
        <v>2015</v>
      </c>
      <c r="C2" s="50"/>
      <c r="D2" s="50">
        <v>2016</v>
      </c>
      <c r="E2" s="50"/>
      <c r="F2" s="50">
        <v>2017</v>
      </c>
      <c r="G2" s="50"/>
      <c r="H2" s="50">
        <v>2018</v>
      </c>
      <c r="I2" s="50"/>
    </row>
    <row r="3" spans="1:10">
      <c r="A3" s="21" t="s">
        <v>7</v>
      </c>
      <c r="B3" s="22">
        <v>8081692</v>
      </c>
      <c r="C3" s="22"/>
      <c r="D3" s="24">
        <v>7015520</v>
      </c>
      <c r="E3" s="22"/>
      <c r="F3" s="24">
        <v>7379027</v>
      </c>
      <c r="G3" s="22"/>
      <c r="H3" s="22">
        <v>7716146</v>
      </c>
      <c r="I3" s="22"/>
    </row>
    <row r="4" spans="1:10">
      <c r="A4" s="21"/>
      <c r="B4" s="25">
        <v>69468360.270000011</v>
      </c>
      <c r="C4" s="26">
        <f>B4/SUM(B$4,B$6,B$8,B$10,B$12,B$14)</f>
        <v>0.60816911962865627</v>
      </c>
      <c r="D4" s="28">
        <v>68403794.5</v>
      </c>
      <c r="E4" s="26">
        <f>D4/SUM(D$4,D$6,D$8,D$10,D$12,D$14)</f>
        <v>0.62630629235187685</v>
      </c>
      <c r="F4" s="28">
        <v>102960562.74999999</v>
      </c>
      <c r="G4" s="26">
        <f>F4/SUM(F$4,F$6,F$8,F$10,F$12,F$14)</f>
        <v>0.63917088805484246</v>
      </c>
      <c r="H4" s="25">
        <v>112826686.81</v>
      </c>
      <c r="I4" s="26">
        <f>H4/SUM(H$4,H$6,H$8,H$10,H$12,H$14)</f>
        <v>0.62786556647479974</v>
      </c>
    </row>
    <row r="5" spans="1:10">
      <c r="A5" s="21" t="s">
        <v>8</v>
      </c>
      <c r="B5" s="22">
        <v>379670</v>
      </c>
      <c r="C5" s="22"/>
      <c r="D5" s="24">
        <v>316001</v>
      </c>
      <c r="E5" s="22"/>
      <c r="F5" s="24">
        <v>441803</v>
      </c>
      <c r="G5" s="22"/>
      <c r="H5" s="22">
        <v>571131</v>
      </c>
      <c r="I5" s="22"/>
    </row>
    <row r="6" spans="1:10">
      <c r="A6" s="21"/>
      <c r="B6" s="25">
        <v>5983067.7999999989</v>
      </c>
      <c r="C6" s="26">
        <f>B6/SUM(B$4,B$6,B$8,B$10,B$12,B$14)</f>
        <v>5.2379487042188679E-2</v>
      </c>
      <c r="D6" s="28">
        <v>5677379.6399999987</v>
      </c>
      <c r="E6" s="26">
        <f>D6/SUM(D$4,D$6,D$8,D$10,D$12,D$14)</f>
        <v>5.1982183424085233E-2</v>
      </c>
      <c r="F6" s="28">
        <v>11162926.16</v>
      </c>
      <c r="G6" s="26">
        <f>F6/SUM(F$4,F$6,F$8,F$10,F$12,F$14)</f>
        <v>6.9298547292349882E-2</v>
      </c>
      <c r="H6" s="25">
        <v>15619809.4</v>
      </c>
      <c r="I6" s="26">
        <f>H6/SUM(H$4,H$6,H$8,H$10,H$12,H$14)</f>
        <v>8.6922170227994144E-2</v>
      </c>
    </row>
    <row r="7" spans="1:10">
      <c r="A7" s="21" t="s">
        <v>9</v>
      </c>
      <c r="B7" s="22">
        <v>2830244</v>
      </c>
      <c r="C7" s="22"/>
      <c r="D7" s="29">
        <v>2306644</v>
      </c>
      <c r="E7" s="22"/>
      <c r="F7" s="29">
        <v>2342896</v>
      </c>
      <c r="G7" s="22"/>
      <c r="H7" s="22">
        <v>2369602</v>
      </c>
      <c r="I7" s="22"/>
    </row>
    <row r="8" spans="1:10">
      <c r="A8" s="21"/>
      <c r="B8" s="25">
        <v>12269464.690000001</v>
      </c>
      <c r="C8" s="26">
        <f>B8/SUM(B$4,B$6,B$8,B$10,B$12,B$14)</f>
        <v>0.1074145051046299</v>
      </c>
      <c r="D8" s="25">
        <v>10388614.35</v>
      </c>
      <c r="E8" s="26">
        <f>D8/SUM(D$4,D$6,D$8,D$10,D$12,D$14)</f>
        <v>9.5118327627599697E-2</v>
      </c>
      <c r="F8" s="25">
        <v>11255510.300000001</v>
      </c>
      <c r="G8" s="26">
        <f>F8/SUM(F$4,F$6,F$8,F$10,F$12,F$14)</f>
        <v>6.9873302182989747E-2</v>
      </c>
      <c r="H8" s="25">
        <v>11885395</v>
      </c>
      <c r="I8" s="26">
        <f>H8/SUM(H$4,H$6,H$8,H$10,H$12,H$14)</f>
        <v>6.6140648772381974E-2</v>
      </c>
    </row>
    <row r="9" spans="1:10">
      <c r="A9" s="30" t="s">
        <v>23</v>
      </c>
      <c r="B9" s="22">
        <v>12678</v>
      </c>
      <c r="C9" s="22"/>
      <c r="D9" s="19">
        <v>0</v>
      </c>
      <c r="E9" s="22"/>
      <c r="F9" s="19">
        <v>506</v>
      </c>
      <c r="G9" s="22"/>
      <c r="H9" s="22">
        <v>16233</v>
      </c>
      <c r="I9" s="22"/>
      <c r="J9" s="22"/>
    </row>
    <row r="10" spans="1:10">
      <c r="A10" s="21"/>
      <c r="B10" s="25">
        <v>0</v>
      </c>
      <c r="C10" s="26">
        <f>B10/SUM(B$4,B$6,B$8,B$10,B$12,B$14)</f>
        <v>0</v>
      </c>
      <c r="D10" s="25">
        <v>0</v>
      </c>
      <c r="E10" s="26">
        <f>D10/SUM(D$4,D$6,D$8,D$10,D$12,D$14)</f>
        <v>0</v>
      </c>
      <c r="F10" s="25">
        <v>3099.1800000000003</v>
      </c>
      <c r="G10" s="26">
        <f>F10/SUM(F$4,F$6,F$8,F$10,F$12,F$14)</f>
        <v>1.9239460041138976E-5</v>
      </c>
      <c r="H10" s="25">
        <v>11251.47</v>
      </c>
      <c r="I10" s="26">
        <f>H10/SUM(H$4,H$6,H$8,H$10,H$12,H$14)</f>
        <v>6.2612940120458142E-5</v>
      </c>
    </row>
    <row r="11" spans="1:10">
      <c r="A11" s="21" t="s">
        <v>10</v>
      </c>
      <c r="B11" s="22">
        <v>110405</v>
      </c>
      <c r="C11" s="22"/>
      <c r="D11" s="19">
        <v>96972</v>
      </c>
      <c r="E11" s="22"/>
      <c r="F11" s="19">
        <v>96331</v>
      </c>
      <c r="G11" s="22"/>
      <c r="H11" s="22">
        <v>98009</v>
      </c>
      <c r="I11" s="22"/>
    </row>
    <row r="12" spans="1:10">
      <c r="A12" s="21"/>
      <c r="B12" s="25">
        <v>21363117.020000003</v>
      </c>
      <c r="C12" s="26">
        <f>B12/SUM(B$4,B$6,B$8,B$10,B$12,B$14)</f>
        <v>0.18702597873449653</v>
      </c>
      <c r="D12" s="25">
        <v>19684863.509999998</v>
      </c>
      <c r="E12" s="26">
        <f>D12/SUM(D$4,D$6,D$8,D$10,D$12,D$14)</f>
        <v>0.18023494121222838</v>
      </c>
      <c r="F12" s="25">
        <v>27429387.859999996</v>
      </c>
      <c r="G12" s="26">
        <f>F12/SUM(F$4,F$6,F$8,F$10,F$12,F$14)</f>
        <v>0.17027943252259384</v>
      </c>
      <c r="H12" s="25">
        <v>28573551.900000002</v>
      </c>
      <c r="I12" s="26">
        <f>H12/SUM(H$4,H$6,H$8,H$10,H$12,H$14)</f>
        <v>0.15900803131888572</v>
      </c>
    </row>
    <row r="13" spans="1:10">
      <c r="A13" s="21" t="s">
        <v>11</v>
      </c>
      <c r="B13" s="22">
        <v>3036</v>
      </c>
      <c r="C13" s="22"/>
      <c r="D13" s="19">
        <v>2371</v>
      </c>
      <c r="E13" s="22"/>
      <c r="F13" s="19">
        <v>3280</v>
      </c>
      <c r="G13" s="22"/>
      <c r="H13" s="22">
        <v>3185</v>
      </c>
      <c r="I13" s="22"/>
    </row>
    <row r="14" spans="1:10">
      <c r="A14" s="21"/>
      <c r="B14" s="25">
        <v>5141389.09</v>
      </c>
      <c r="C14" s="26">
        <f>B14/SUM(B$4,B$6,B$8,B$10,B$12,B$14)</f>
        <v>4.5010909490028728E-2</v>
      </c>
      <c r="D14" s="25">
        <v>5063146.6000000006</v>
      </c>
      <c r="E14" s="26">
        <f>D14/SUM(D$4,D$6,D$8,D$10,D$12,D$14)</f>
        <v>4.6358255384209887E-2</v>
      </c>
      <c r="F14" s="25">
        <v>8273076.0700000003</v>
      </c>
      <c r="G14" s="26">
        <f>F14/SUM(F$4,F$6,F$8,F$10,F$12,F$14)</f>
        <v>5.1358590487183081E-2</v>
      </c>
      <c r="H14" s="25">
        <v>10782102.16</v>
      </c>
      <c r="I14" s="26">
        <f>H14/SUM(H$4,H$6,H$8,H$10,H$12,H$14)</f>
        <v>6.0000970265817931E-2</v>
      </c>
    </row>
    <row r="16" spans="1:10">
      <c r="A16" s="21" t="s">
        <v>24</v>
      </c>
    </row>
    <row r="17" spans="1:9">
      <c r="A17" s="21" t="s">
        <v>12</v>
      </c>
      <c r="C17" s="32"/>
      <c r="D17" s="34">
        <f>D3/B3</f>
        <v>0.86807564554551198</v>
      </c>
      <c r="E17" s="20">
        <f>AVERAGE(C4,E4)</f>
        <v>0.61723770599026651</v>
      </c>
      <c r="F17" s="34">
        <f>F3/D3</f>
        <v>1.0518146908568431</v>
      </c>
      <c r="G17" s="20">
        <f>AVERAGE(E4,G4)</f>
        <v>0.63273859020335965</v>
      </c>
      <c r="H17" s="34">
        <f>H3/F3</f>
        <v>1.0456861046856178</v>
      </c>
      <c r="I17" s="20">
        <f>AVERAGE(G4,I4)</f>
        <v>0.6335182272648211</v>
      </c>
    </row>
    <row r="18" spans="1:9">
      <c r="A18" s="21" t="s">
        <v>13</v>
      </c>
      <c r="C18" s="32"/>
      <c r="D18" s="34">
        <f>D5/B5</f>
        <v>0.83230436958411247</v>
      </c>
      <c r="E18" s="20">
        <f>AVERAGE(C6,E6)</f>
        <v>5.2180835233136956E-2</v>
      </c>
      <c r="F18" s="34">
        <f>F5/D5</f>
        <v>1.3981063351065344</v>
      </c>
      <c r="G18" s="20">
        <f>AVERAGE(E6,G6)</f>
        <v>6.0640365358217554E-2</v>
      </c>
      <c r="H18" s="34">
        <f>H5/F5</f>
        <v>1.2927277542252995</v>
      </c>
      <c r="I18" s="20">
        <f>AVERAGE(G6,I6)</f>
        <v>7.8110358760172013E-2</v>
      </c>
    </row>
    <row r="19" spans="1:9">
      <c r="A19" s="21" t="s">
        <v>14</v>
      </c>
      <c r="C19" s="32"/>
      <c r="D19" s="34">
        <f>D7/B7</f>
        <v>0.8149982828335649</v>
      </c>
      <c r="E19" s="20">
        <f>AVERAGE(C8,E8)</f>
        <v>0.1012664163661148</v>
      </c>
      <c r="F19" s="34">
        <f>F7/D7</f>
        <v>1.0157163394091155</v>
      </c>
      <c r="G19" s="20">
        <f>AVERAGE(E8,G8)</f>
        <v>8.2495814905294729E-2</v>
      </c>
      <c r="H19" s="34">
        <f>H7/F7</f>
        <v>1.0113987133871927</v>
      </c>
      <c r="I19" s="20">
        <f>AVERAGE(G8,I8)</f>
        <v>6.800697547768586E-2</v>
      </c>
    </row>
    <row r="20" spans="1:9">
      <c r="A20" s="21" t="s">
        <v>15</v>
      </c>
      <c r="C20" s="32"/>
      <c r="D20" s="34">
        <f>D9/B9</f>
        <v>0</v>
      </c>
      <c r="E20" s="20">
        <f>AVERAGE(C10,E10)</f>
        <v>0</v>
      </c>
      <c r="F20" s="34">
        <v>0</v>
      </c>
      <c r="G20" s="20">
        <f>AVERAGE(E10,G10)</f>
        <v>9.6197300205694878E-6</v>
      </c>
      <c r="H20" s="34">
        <f>H9/F9</f>
        <v>32.081027667984188</v>
      </c>
      <c r="I20" s="20">
        <f>AVERAGE(G10,I10)</f>
        <v>4.0926200080798562E-5</v>
      </c>
    </row>
    <row r="21" spans="1:9">
      <c r="A21" s="21" t="s">
        <v>16</v>
      </c>
      <c r="C21" s="32"/>
      <c r="D21" s="34">
        <f>D11/B11</f>
        <v>0.87832978578868715</v>
      </c>
      <c r="E21" s="20">
        <f>AVERAGE(C12,E12)</f>
        <v>0.18363045997336247</v>
      </c>
      <c r="F21" s="34">
        <f>F11/D11</f>
        <v>0.99338984449119339</v>
      </c>
      <c r="G21" s="20">
        <f>AVERAGE(E12,G12)</f>
        <v>0.1752571868674111</v>
      </c>
      <c r="H21" s="34">
        <f>H11/F11</f>
        <v>1.0174191070371947</v>
      </c>
      <c r="I21" s="20">
        <f>AVERAGE(G12,I12)</f>
        <v>0.16464373192073978</v>
      </c>
    </row>
    <row r="22" spans="1:9">
      <c r="A22" s="21" t="s">
        <v>17</v>
      </c>
      <c r="C22" s="32"/>
      <c r="D22" s="34">
        <f>D13/B13</f>
        <v>0.78096179183135706</v>
      </c>
      <c r="E22" s="20">
        <f>AVERAGE(C14,E14)</f>
        <v>4.5684582437119307E-2</v>
      </c>
      <c r="F22" s="34">
        <f>F13/D13</f>
        <v>1.3833825390130747</v>
      </c>
      <c r="G22" s="20">
        <f>AVERAGE(E14,G14)</f>
        <v>4.8858422935696484E-2</v>
      </c>
      <c r="H22" s="34">
        <f>H13/F13</f>
        <v>0.97103658536585369</v>
      </c>
      <c r="I22" s="20">
        <f>AVERAGE(G14,I14)</f>
        <v>5.5679780376500509E-2</v>
      </c>
    </row>
    <row r="24" spans="1:9">
      <c r="A24" s="21" t="s">
        <v>18</v>
      </c>
      <c r="B24" s="32"/>
      <c r="C24" s="32"/>
      <c r="D24" s="33">
        <f>D17*E17+D18*E18+D19*E19+D20*E20+D21*E21+D22*E22</f>
        <v>0.85873732863455399</v>
      </c>
      <c r="E24" s="33"/>
      <c r="F24" s="33">
        <f>F17*G17+F18*G18+F19*G19+F20*G20+F21*G21+F22*G22</f>
        <v>1.0757863695317582</v>
      </c>
      <c r="G24" s="35"/>
      <c r="H24" s="33">
        <f>H17*I17+H18*I18+H19*I19+H20*I20+H21*I21+H22*I22</f>
        <v>1.0551105405550696</v>
      </c>
      <c r="I24" s="20"/>
    </row>
    <row r="25" spans="1:9">
      <c r="A25" s="21" t="s">
        <v>19</v>
      </c>
      <c r="H25" s="36">
        <f>(H24*F24*D24)^(1/3)-1</f>
        <v>-8.4952930619311973E-3</v>
      </c>
      <c r="I25" s="20"/>
    </row>
    <row r="26" spans="1:9">
      <c r="A26" s="21" t="s">
        <v>0</v>
      </c>
      <c r="B26" s="32"/>
      <c r="C26" s="32"/>
      <c r="D26" s="32"/>
      <c r="E26" s="32"/>
      <c r="F26" s="32"/>
      <c r="G26" s="32"/>
      <c r="H26" s="33">
        <f>MIN(MAX((-0.1854*H25*100+1.4528),0),2.1)</f>
        <v>1.6103027333682045</v>
      </c>
      <c r="I26" s="32"/>
    </row>
    <row r="27" spans="1:9">
      <c r="A27" s="21" t="s">
        <v>20</v>
      </c>
      <c r="B27" s="32"/>
      <c r="C27" s="32"/>
      <c r="D27" s="32"/>
      <c r="E27" s="32"/>
      <c r="F27" s="32"/>
      <c r="G27" s="32"/>
      <c r="H27" s="37">
        <f>(1.35-H26)/100</f>
        <v>-2.6030273336820442E-3</v>
      </c>
      <c r="I27" s="32"/>
    </row>
  </sheetData>
  <mergeCells count="6">
    <mergeCell ref="F2:G2"/>
    <mergeCell ref="H2:I2"/>
    <mergeCell ref="A1:A2"/>
    <mergeCell ref="B1:I1"/>
    <mergeCell ref="B2:C2"/>
    <mergeCell ref="D2:E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H27" sqref="H27"/>
    </sheetView>
  </sheetViews>
  <sheetFormatPr defaultRowHeight="15"/>
  <cols>
    <col min="1" max="1" width="48.85546875" bestFit="1" customWidth="1"/>
    <col min="2" max="2" width="16.85546875" bestFit="1" customWidth="1"/>
    <col min="3" max="3" width="4.5703125" bestFit="1" customWidth="1"/>
    <col min="4" max="4" width="16.85546875" bestFit="1" customWidth="1"/>
    <col min="5" max="5" width="4.5703125" bestFit="1" customWidth="1"/>
    <col min="6" max="6" width="16.85546875" bestFit="1" customWidth="1"/>
    <col min="7" max="7" width="4.5703125" bestFit="1" customWidth="1"/>
    <col min="8" max="8" width="16.85546875" bestFit="1" customWidth="1"/>
    <col min="9" max="9" width="4.5703125" bestFit="1" customWidth="1"/>
  </cols>
  <sheetData>
    <row r="1" spans="1:10">
      <c r="A1" s="49" t="s">
        <v>5</v>
      </c>
      <c r="B1" s="50" t="s">
        <v>22</v>
      </c>
      <c r="C1" s="50"/>
      <c r="D1" s="50"/>
      <c r="E1" s="50"/>
      <c r="F1" s="50"/>
      <c r="G1" s="50"/>
      <c r="H1" s="50"/>
      <c r="I1" s="50"/>
    </row>
    <row r="2" spans="1:10">
      <c r="A2" s="49"/>
      <c r="B2" s="50">
        <v>2015</v>
      </c>
      <c r="C2" s="50"/>
      <c r="D2" s="50">
        <v>2016</v>
      </c>
      <c r="E2" s="50"/>
      <c r="F2" s="50">
        <v>2017</v>
      </c>
      <c r="G2" s="50"/>
      <c r="H2" s="51">
        <v>2018</v>
      </c>
      <c r="I2" s="51"/>
    </row>
    <row r="3" spans="1:10">
      <c r="A3" s="21" t="s">
        <v>7</v>
      </c>
      <c r="B3" s="22">
        <v>2482068</v>
      </c>
      <c r="C3" s="22"/>
      <c r="D3" s="22">
        <v>2224915</v>
      </c>
      <c r="E3" s="22"/>
      <c r="F3" s="22">
        <v>2320993</v>
      </c>
      <c r="G3" s="22"/>
      <c r="H3" s="22">
        <v>2300285</v>
      </c>
    </row>
    <row r="4" spans="1:10">
      <c r="A4" s="21"/>
      <c r="B4" s="25">
        <v>13617813.91</v>
      </c>
      <c r="C4" s="26">
        <f>B4/SUM(B$4,B$6,B$8,B$10,B$12,B$14)</f>
        <v>0.72128538322326041</v>
      </c>
      <c r="D4" s="25">
        <v>17341870</v>
      </c>
      <c r="E4" s="26">
        <f>D4/SUM(D$4,D$6,D$8,D$10,D$12,D$14)</f>
        <v>0.76155991580883675</v>
      </c>
      <c r="F4" s="25">
        <v>25467882.239999998</v>
      </c>
      <c r="G4" s="26">
        <f>F4/SUM(F$4,F$6,F$8,F$10,F$12,F$14)</f>
        <v>0.77455178054613549</v>
      </c>
      <c r="H4" s="25">
        <v>25803088.920000002</v>
      </c>
      <c r="I4" s="26">
        <f>H4/SUM(H$4,H$6,H$8,H$10,H$12,H$14)</f>
        <v>0.76173103351474314</v>
      </c>
    </row>
    <row r="5" spans="1:10">
      <c r="A5" s="21" t="s">
        <v>8</v>
      </c>
      <c r="B5" s="22">
        <v>80403</v>
      </c>
      <c r="C5" s="22"/>
      <c r="D5" s="22">
        <v>89132</v>
      </c>
      <c r="E5" s="22"/>
      <c r="F5" s="22">
        <v>81402</v>
      </c>
      <c r="G5" s="22"/>
      <c r="H5" s="22">
        <v>89889</v>
      </c>
    </row>
    <row r="6" spans="1:10">
      <c r="A6" s="21"/>
      <c r="B6" s="25">
        <v>761512.26</v>
      </c>
      <c r="C6" s="26">
        <f>B6/SUM(B$4,B$6,B$8,B$10,B$12,B$14)</f>
        <v>4.0334496117615921E-2</v>
      </c>
      <c r="D6" s="25">
        <v>1280124</v>
      </c>
      <c r="E6" s="26">
        <f>D6/SUM(D$4,D$6,D$8,D$10,D$12,D$14)</f>
        <v>5.6216032392404705E-2</v>
      </c>
      <c r="F6" s="25">
        <v>1591223.78</v>
      </c>
      <c r="G6" s="26">
        <f>F6/SUM(F$4,F$6,F$8,F$10,F$12,F$14)</f>
        <v>4.8393706254484095E-2</v>
      </c>
      <c r="H6" s="25">
        <v>1791263.52</v>
      </c>
      <c r="I6" s="26">
        <f>H6/SUM(H$4,H$6,H$8,H$10,H$12,H$14)</f>
        <v>5.2879754692053998E-2</v>
      </c>
    </row>
    <row r="7" spans="1:10">
      <c r="A7" s="21" t="s">
        <v>9</v>
      </c>
      <c r="B7" s="22">
        <v>21979</v>
      </c>
      <c r="C7" s="22"/>
      <c r="D7" s="22">
        <v>2410</v>
      </c>
      <c r="E7" s="22"/>
      <c r="F7" s="22">
        <v>1208</v>
      </c>
      <c r="G7" s="22"/>
      <c r="H7" s="22">
        <v>16249</v>
      </c>
    </row>
    <row r="8" spans="1:10">
      <c r="A8" s="21"/>
      <c r="B8" s="25">
        <v>0</v>
      </c>
      <c r="C8" s="26">
        <f>B8/SUM(B$4,B$6,B$8,B$10,B$12,B$14)</f>
        <v>0</v>
      </c>
      <c r="D8" s="25">
        <v>0</v>
      </c>
      <c r="E8" s="26">
        <f>D8/SUM(D$4,D$6,D$8,D$10,D$12,D$14)</f>
        <v>0</v>
      </c>
      <c r="F8" s="25">
        <v>0</v>
      </c>
      <c r="G8" s="26">
        <f>F8/SUM(F$4,F$6,F$8,F$10,F$12,F$14)</f>
        <v>0</v>
      </c>
      <c r="H8" s="25">
        <v>0</v>
      </c>
      <c r="I8" s="26">
        <f>H8/SUM(H$4,H$6,H$8,H$10,H$12,H$14)</f>
        <v>0</v>
      </c>
    </row>
    <row r="9" spans="1:10">
      <c r="A9" s="30" t="s">
        <v>23</v>
      </c>
      <c r="B9" s="22">
        <v>6</v>
      </c>
      <c r="C9" s="22"/>
      <c r="D9" s="22">
        <v>6</v>
      </c>
      <c r="E9" s="22"/>
      <c r="F9" s="22">
        <v>74</v>
      </c>
      <c r="G9" s="22"/>
      <c r="H9" s="22">
        <v>390</v>
      </c>
      <c r="I9" s="22"/>
      <c r="J9" s="22"/>
    </row>
    <row r="10" spans="1:10">
      <c r="A10" s="21"/>
      <c r="B10" s="25">
        <v>0</v>
      </c>
      <c r="C10" s="26">
        <f>B10/SUM(B$4,B$6,B$8,B$10,B$12,B$14)</f>
        <v>0</v>
      </c>
      <c r="D10" s="25">
        <v>0</v>
      </c>
      <c r="E10" s="26">
        <f>D10/SUM(D$4,D$6,D$8,D$10,D$12,D$14)</f>
        <v>0</v>
      </c>
      <c r="F10" s="25">
        <v>0</v>
      </c>
      <c r="G10" s="26">
        <f>F10/SUM(F$4,F$6,F$8,F$10,F$12,F$14)</f>
        <v>0</v>
      </c>
      <c r="H10" s="25">
        <v>0</v>
      </c>
      <c r="I10" s="26">
        <f>H10/SUM(H$4,H$6,H$8,H$10,H$12,H$14)</f>
        <v>0</v>
      </c>
    </row>
    <row r="11" spans="1:10">
      <c r="A11" s="21" t="s">
        <v>10</v>
      </c>
      <c r="B11" s="22">
        <v>22098</v>
      </c>
      <c r="C11" s="26"/>
      <c r="D11" s="22">
        <v>17965</v>
      </c>
      <c r="E11" s="26"/>
      <c r="F11" s="22">
        <v>18353</v>
      </c>
      <c r="G11" s="26"/>
      <c r="H11" s="22">
        <v>18244</v>
      </c>
    </row>
    <row r="12" spans="1:10">
      <c r="A12" s="21"/>
      <c r="B12" s="25">
        <v>3734114.18</v>
      </c>
      <c r="C12" s="26">
        <f>B12/SUM(B$4,B$6,B$8,B$10,B$12,B$14)</f>
        <v>0.1977822574989726</v>
      </c>
      <c r="D12" s="25">
        <v>3201073</v>
      </c>
      <c r="E12" s="26">
        <f>D12/SUM(D$4,D$6,D$8,D$10,D$12,D$14)</f>
        <v>0.14057358776060139</v>
      </c>
      <c r="F12" s="25">
        <v>4652589.8500000006</v>
      </c>
      <c r="G12" s="26">
        <f>F12/SUM(F$4,F$6,F$8,F$10,F$12,F$14)</f>
        <v>0.14149868130018409</v>
      </c>
      <c r="H12" s="25">
        <v>4650835.3899999997</v>
      </c>
      <c r="I12" s="26">
        <f>H12/SUM(H$4,H$6,H$8,H$10,H$12,H$14)</f>
        <v>0.13729695926388502</v>
      </c>
    </row>
    <row r="13" spans="1:10">
      <c r="A13" s="21" t="s">
        <v>11</v>
      </c>
      <c r="B13" s="22">
        <v>587</v>
      </c>
      <c r="C13" s="22"/>
      <c r="D13" s="22">
        <v>708</v>
      </c>
      <c r="E13" s="22"/>
      <c r="F13" s="22">
        <v>581</v>
      </c>
      <c r="G13" s="22"/>
      <c r="H13" s="22">
        <v>762</v>
      </c>
    </row>
    <row r="14" spans="1:10">
      <c r="A14" s="21"/>
      <c r="B14" s="25">
        <v>766484.61</v>
      </c>
      <c r="C14" s="26">
        <f>B14/SUM(B$4,B$6,B$8,B$10,B$12,B$14)</f>
        <v>4.0597863160151029E-2</v>
      </c>
      <c r="D14" s="25">
        <v>948444</v>
      </c>
      <c r="E14" s="26">
        <f>D14/SUM(D$4,D$6,D$8,D$10,D$12,D$14)</f>
        <v>4.1650464038157149E-2</v>
      </c>
      <c r="F14" s="25">
        <v>1169104.2</v>
      </c>
      <c r="G14" s="26">
        <f>F14/SUM(F$4,F$6,F$8,F$10,F$12,F$14)</f>
        <v>3.5555831899196241E-2</v>
      </c>
      <c r="H14" s="25">
        <v>1629090.3399999999</v>
      </c>
      <c r="I14" s="26">
        <f>H14/SUM(H$4,H$6,H$8,H$10,H$12,H$14)</f>
        <v>4.8092252529317876E-2</v>
      </c>
    </row>
    <row r="16" spans="1:10">
      <c r="A16" s="21" t="s">
        <v>24</v>
      </c>
    </row>
    <row r="17" spans="1:9">
      <c r="A17" s="21" t="s">
        <v>12</v>
      </c>
      <c r="C17" s="32"/>
      <c r="D17" s="34">
        <f>D3/B3</f>
        <v>0.89639566683910354</v>
      </c>
      <c r="E17" s="20">
        <f>AVERAGE(C4,E4)</f>
        <v>0.74142264951604853</v>
      </c>
      <c r="F17" s="34">
        <f>F3/D3</f>
        <v>1.0431827732744847</v>
      </c>
      <c r="G17" s="20">
        <f>AVERAGE(E4,G4)</f>
        <v>0.76805584817748618</v>
      </c>
      <c r="H17" s="34">
        <f>H3/F3</f>
        <v>0.99107795671938692</v>
      </c>
      <c r="I17" s="20">
        <f>AVERAGE(G4,I4)</f>
        <v>0.76814140703043932</v>
      </c>
    </row>
    <row r="18" spans="1:9">
      <c r="A18" s="21" t="s">
        <v>13</v>
      </c>
      <c r="C18" s="32"/>
      <c r="D18" s="34">
        <f>D5/B5</f>
        <v>1.1085656007860403</v>
      </c>
      <c r="E18" s="20">
        <f>AVERAGE(C6,E6)</f>
        <v>4.8275264255010317E-2</v>
      </c>
      <c r="F18" s="34">
        <f>F5/D5</f>
        <v>0.91327469371269576</v>
      </c>
      <c r="G18" s="20">
        <f>AVERAGE(E6,G6)</f>
        <v>5.23048693234444E-2</v>
      </c>
      <c r="H18" s="34">
        <f>H5/F5</f>
        <v>1.1042603375838431</v>
      </c>
      <c r="I18" s="20">
        <f>AVERAGE(G6,I6)</f>
        <v>5.0636730473269047E-2</v>
      </c>
    </row>
    <row r="19" spans="1:9">
      <c r="A19" s="21" t="s">
        <v>14</v>
      </c>
      <c r="C19" s="32"/>
      <c r="D19" s="34">
        <f>D7/B7</f>
        <v>0.10965012056963465</v>
      </c>
      <c r="E19" s="20">
        <f>AVERAGE(C8,E8)</f>
        <v>0</v>
      </c>
      <c r="F19" s="34">
        <f>F7/D7</f>
        <v>0.50124481327800829</v>
      </c>
      <c r="G19" s="20">
        <f>AVERAGE(E8,G8)</f>
        <v>0</v>
      </c>
      <c r="H19" s="34">
        <f>H7/F7</f>
        <v>13.451158940397351</v>
      </c>
      <c r="I19" s="20">
        <f>AVERAGE(G8,I8)</f>
        <v>0</v>
      </c>
    </row>
    <row r="20" spans="1:9">
      <c r="A20" s="21" t="s">
        <v>15</v>
      </c>
      <c r="C20" s="32"/>
      <c r="D20" s="34">
        <f>D9/B9</f>
        <v>1</v>
      </c>
      <c r="E20" s="20">
        <f>AVERAGE(C10,E10)</f>
        <v>0</v>
      </c>
      <c r="F20" s="34">
        <f>F9/D9</f>
        <v>12.333333333333334</v>
      </c>
      <c r="G20" s="20">
        <f>AVERAGE(E10,G10)</f>
        <v>0</v>
      </c>
      <c r="H20" s="34">
        <f>H9/F9</f>
        <v>5.2702702702702702</v>
      </c>
      <c r="I20" s="20">
        <f>AVERAGE(G10,I10)</f>
        <v>0</v>
      </c>
    </row>
    <row r="21" spans="1:9">
      <c r="A21" s="21" t="s">
        <v>16</v>
      </c>
      <c r="C21" s="32"/>
      <c r="D21" s="34">
        <f>D11/B11</f>
        <v>0.81296949950221742</v>
      </c>
      <c r="E21" s="20">
        <f>AVERAGE(C12,E12)</f>
        <v>0.16917792262978698</v>
      </c>
      <c r="F21" s="34">
        <f>F11/D11</f>
        <v>1.0215975507932089</v>
      </c>
      <c r="G21" s="20">
        <f>AVERAGE(E12,G12)</f>
        <v>0.14103613453039274</v>
      </c>
      <c r="H21" s="34">
        <f>H11/F11</f>
        <v>0.99406091647142159</v>
      </c>
      <c r="I21" s="20">
        <f>AVERAGE(G12,I12)</f>
        <v>0.13939782028203457</v>
      </c>
    </row>
    <row r="22" spans="1:9">
      <c r="A22" s="21" t="s">
        <v>17</v>
      </c>
      <c r="C22" s="32"/>
      <c r="D22" s="34">
        <f>D13/B13</f>
        <v>1.2061328790459966</v>
      </c>
      <c r="E22" s="20">
        <f>AVERAGE(C14,E14)</f>
        <v>4.1124163599154093E-2</v>
      </c>
      <c r="F22" s="34">
        <f>F13/D13</f>
        <v>0.82062146892655363</v>
      </c>
      <c r="G22" s="20">
        <f>AVERAGE(E14,G14)</f>
        <v>3.8603147968676699E-2</v>
      </c>
      <c r="H22" s="34">
        <f>H13/F13</f>
        <v>1.3115318416523236</v>
      </c>
      <c r="I22" s="20">
        <f>AVERAGE(G14,I14)</f>
        <v>4.1824042214257062E-2</v>
      </c>
    </row>
    <row r="24" spans="1:9">
      <c r="A24" s="21" t="s">
        <v>18</v>
      </c>
      <c r="B24" s="32"/>
      <c r="C24" s="32"/>
      <c r="D24" s="33">
        <f>D17*E17+D18*E18+D19*E19+D20*E20+D21*E21+D22*E22</f>
        <v>0.90526204457188286</v>
      </c>
      <c r="E24" s="33"/>
      <c r="F24" s="33">
        <f>F17*G17+F18*G18+F19*G19+F20*G20+F21*G21+F22*G22</f>
        <v>1.0247520848433633</v>
      </c>
      <c r="G24" s="32"/>
      <c r="H24" s="33">
        <f>H17*I17+H18*I18+H19*I19+H20*I20+H21*I21+H22*I22</f>
        <v>1.0106276373321239</v>
      </c>
      <c r="I24" s="32"/>
    </row>
    <row r="25" spans="1:9">
      <c r="A25" s="21" t="s">
        <v>19</v>
      </c>
      <c r="H25" s="36">
        <f>(H24*F24*D24)^(1/3)-1</f>
        <v>-2.1273311690664043E-2</v>
      </c>
    </row>
    <row r="26" spans="1:9">
      <c r="A26" s="21" t="s">
        <v>0</v>
      </c>
      <c r="B26" s="32"/>
      <c r="C26" s="32"/>
      <c r="D26" s="32"/>
      <c r="E26" s="32"/>
      <c r="F26" s="32"/>
      <c r="G26" s="32"/>
      <c r="H26" s="33">
        <f>MIN(MAX((-0.1854*H25*100+1.4528),0),2.1)</f>
        <v>1.8472071987449115</v>
      </c>
      <c r="I26" s="32"/>
    </row>
    <row r="27" spans="1:9">
      <c r="A27" s="21" t="s">
        <v>20</v>
      </c>
      <c r="B27" s="32"/>
      <c r="C27" s="32"/>
      <c r="D27" s="32"/>
      <c r="E27" s="32"/>
      <c r="F27" s="32"/>
      <c r="G27" s="32"/>
      <c r="H27" s="37">
        <f>(1.35-H26)/100</f>
        <v>-4.9720719874491136E-3</v>
      </c>
      <c r="I27" s="32"/>
    </row>
  </sheetData>
  <mergeCells count="6">
    <mergeCell ref="H2:I2"/>
    <mergeCell ref="A1:A2"/>
    <mergeCell ref="B1:I1"/>
    <mergeCell ref="B2:C2"/>
    <mergeCell ref="D2:E2"/>
    <mergeCell ref="F2:G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 - Paramétrica</vt:lpstr>
      <vt:lpstr>Cálculo - SBGL</vt:lpstr>
      <vt:lpstr>Cálculo - SBCF</vt:lpstr>
      <vt:lpstr>Cálculo - SBSG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Frederico Alves Silva Ribeiro</dc:creator>
  <cp:lastModifiedBy>Frederico Alves Silva Ribeiro</cp:lastModifiedBy>
  <dcterms:created xsi:type="dcterms:W3CDTF">2019-06-28T14:21:37Z</dcterms:created>
  <dcterms:modified xsi:type="dcterms:W3CDTF">2019-07-02T19:40:58Z</dcterms:modified>
</cp:coreProperties>
</file>