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\\svcdf1001\anac\Secretaria Geral\2017\Reunião de Diretoria\Documentos\9 - Setembro\REDIR 05.09\Reunião Deliberativa 05.09\16 - 1° RPC - BSB, GRU e VCP - fator X\"/>
    </mc:Choice>
  </mc:AlternateContent>
  <bookViews>
    <workbookView xWindow="0" yWindow="0" windowWidth="24000" windowHeight="9735" firstSheet="3" activeTab="3"/>
  </bookViews>
  <sheets>
    <sheet name="IPCA" sheetId="20" r:id="rId1"/>
    <sheet name="Alocação de Custos - BSB" sheetId="19" r:id="rId2"/>
    <sheet name="Alocação de Custos - GRU" sheetId="21" r:id="rId3"/>
    <sheet name="Alocação de Custos - VCP" sheetId="22" r:id="rId4"/>
    <sheet name="Calculo Fator X" sheetId="1" r:id="rId5"/>
  </sheets>
  <externalReferences>
    <externalReference r:id="rId6"/>
    <externalReference r:id="rId7"/>
    <externalReference r:id="rId8"/>
  </externalReferences>
  <definedNames>
    <definedName name="___ACC2" hidden="1">'[1]DIF FAT FEV 01'!$X$13:$Y$40</definedName>
    <definedName name="__ACC2" hidden="1">'[1]DIF FAT FEV 01'!$X$13:$Y$40</definedName>
    <definedName name="_14F" hidden="1">[2]ACUMULADO!#REF!</definedName>
    <definedName name="_22_0_Dist_Val" hidden="1">[2]ACUMULADO!#REF!</definedName>
    <definedName name="_30_0_F" hidden="1">[2]ACUMULADO!#REF!</definedName>
    <definedName name="_7Dist_Val" hidden="1">[2]ACUMULADO!#REF!</definedName>
    <definedName name="_ACC2" hidden="1">'[1]DIF FAT FEV 01'!$X$13:$Y$40</definedName>
    <definedName name="_Dist_Bin" hidden="1">[2]ACUMULADO!#REF!</definedName>
    <definedName name="_Dist_Values" hidden="1">#REF!</definedName>
    <definedName name="_Fill" hidden="1">#REF!</definedName>
    <definedName name="_Key1" hidden="1">#REF!</definedName>
    <definedName name="_Key2" hidden="1">[3]MOPE!$AG$10:$AG$70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nscount" hidden="1">3</definedName>
    <definedName name="limcount" hidden="1">3</definedName>
    <definedName name="rrrrr" hidden="1">'[1]DIF FAT FEV 01'!$X$13:$Y$40</definedName>
    <definedName name="SAPBEXrevision" hidden="1">36</definedName>
    <definedName name="SAPBEXsysID" hidden="1">"B03"</definedName>
    <definedName name="SAPBEXwbID" hidden="1">"3Z4DJBPM836UCD54ZRZ5V92Q4"</definedName>
    <definedName name="sencount" hidden="1">3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wrn.CONSOLIDADO." hidden="1">{#N/A,#N/A,FALSE,"CONSOLIDADO"}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TUDO." hidden="1">{#N/A,#N/A,FALSE,"CONSMET";#N/A,#N/A,FALSE,"CBA";#N/A,#N/A,FALSE,"CMM";#N/A,#N/A,FALSE,"NIQUELTO";#N/A,#N/A,FALSE,"SBMANSA";#N/A,#N/A,FALSE,"ATLAS";#N/A,#N/A,FALSE,"STACRUZ";#N/A,#N/A,FALSE,"PIRAT"}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2" l="1"/>
  <c r="Q4" i="22"/>
  <c r="Q3" i="22"/>
  <c r="Q2" i="22"/>
  <c r="R3" i="19"/>
  <c r="R3" i="21"/>
  <c r="S3" i="22"/>
  <c r="R4" i="21"/>
  <c r="S4" i="22"/>
  <c r="R5" i="21"/>
  <c r="S5" i="22"/>
  <c r="R2" i="21"/>
  <c r="S2" i="22"/>
  <c r="R4" i="19"/>
  <c r="R5" i="19"/>
  <c r="R2" i="19"/>
  <c r="T5" i="22" l="1"/>
  <c r="I3" i="22" s="1"/>
  <c r="T2" i="22"/>
  <c r="F3" i="22" s="1"/>
  <c r="T3" i="22"/>
  <c r="G4" i="22" s="1"/>
  <c r="T4" i="22"/>
  <c r="H4" i="22" s="1"/>
  <c r="I4" i="22" l="1"/>
  <c r="G3" i="22"/>
  <c r="H3" i="22"/>
  <c r="F4" i="22"/>
  <c r="P5" i="21" l="1"/>
  <c r="P4" i="21"/>
  <c r="E4" i="21"/>
  <c r="D4" i="21"/>
  <c r="C4" i="21"/>
  <c r="B4" i="21"/>
  <c r="P3" i="21"/>
  <c r="E3" i="21"/>
  <c r="D3" i="21"/>
  <c r="C3" i="21"/>
  <c r="B3" i="21"/>
  <c r="P2" i="21"/>
  <c r="S5" i="21" l="1"/>
  <c r="I4" i="21" s="1"/>
  <c r="S2" i="21"/>
  <c r="F4" i="21" s="1"/>
  <c r="S3" i="21"/>
  <c r="G4" i="21" s="1"/>
  <c r="S4" i="21"/>
  <c r="H3" i="21" s="1"/>
  <c r="I3" i="21"/>
  <c r="F3" i="21"/>
  <c r="G3" i="21"/>
  <c r="H4" i="21" l="1"/>
  <c r="A3" i="20" l="1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P5" i="19"/>
  <c r="P4" i="19"/>
  <c r="E4" i="19"/>
  <c r="D4" i="19"/>
  <c r="C4" i="19"/>
  <c r="B4" i="19"/>
  <c r="P3" i="19"/>
  <c r="E3" i="19"/>
  <c r="D3" i="19"/>
  <c r="C3" i="19"/>
  <c r="B3" i="19"/>
  <c r="P2" i="19"/>
  <c r="S5" i="19" l="1"/>
  <c r="S2" i="19"/>
  <c r="S3" i="19"/>
  <c r="S4" i="19"/>
  <c r="H3" i="19" s="1"/>
  <c r="I3" i="19"/>
  <c r="C10" i="1" l="1"/>
  <c r="C9" i="1"/>
  <c r="I4" i="19"/>
  <c r="H4" i="19"/>
  <c r="G4" i="19"/>
  <c r="F4" i="19"/>
  <c r="F3" i="19"/>
  <c r="C7" i="1" s="1"/>
  <c r="G3" i="19"/>
  <c r="C8" i="1" l="1"/>
  <c r="E14" i="1" l="1"/>
  <c r="E15" i="1" s="1"/>
  <c r="M14" i="1" l="1"/>
  <c r="M15" i="1" s="1"/>
  <c r="U14" i="1" l="1"/>
  <c r="U15" i="1" s="1"/>
  <c r="F14" i="1" l="1"/>
  <c r="F15" i="1" s="1"/>
  <c r="N14" i="1" l="1"/>
  <c r="N15" i="1" s="1"/>
  <c r="V14" i="1" l="1"/>
  <c r="V15" i="1" s="1"/>
  <c r="G14" i="1" l="1"/>
  <c r="G15" i="1" s="1"/>
  <c r="O14" i="1" l="1"/>
  <c r="O15" i="1" s="1"/>
  <c r="W14" i="1" l="1"/>
  <c r="W15" i="1" s="1"/>
  <c r="H14" i="1" l="1"/>
  <c r="H15" i="1" s="1"/>
  <c r="P14" i="1" l="1"/>
  <c r="P15" i="1" s="1"/>
  <c r="X14" i="1" l="1"/>
  <c r="X15" i="1" s="1"/>
  <c r="I14" i="1" l="1"/>
  <c r="I15" i="1" s="1"/>
  <c r="Q14" i="1" l="1"/>
  <c r="Q15" i="1" s="1"/>
  <c r="Y14" i="1" l="1"/>
  <c r="Y15" i="1" s="1"/>
  <c r="E16" i="1" l="1"/>
  <c r="N16" i="1" l="1"/>
  <c r="H16" i="1"/>
  <c r="I16" i="1"/>
  <c r="F16" i="1"/>
  <c r="G16" i="1"/>
  <c r="O16" i="1" l="1"/>
  <c r="M16" i="1"/>
  <c r="P16" i="1"/>
  <c r="Q16" i="1"/>
  <c r="V16" i="1" l="1"/>
  <c r="U16" i="1"/>
  <c r="X16" i="1"/>
  <c r="Y16" i="1"/>
  <c r="W16" i="1"/>
  <c r="D14" i="1" l="1"/>
  <c r="D15" i="1" s="1"/>
  <c r="D17" i="1" s="1"/>
  <c r="F20" i="1" s="1"/>
  <c r="L14" i="1"/>
  <c r="L15" i="1" s="1"/>
  <c r="L17" i="1" s="1"/>
  <c r="F21" i="1" s="1"/>
  <c r="T14" i="1" l="1"/>
  <c r="T15" i="1" s="1"/>
  <c r="T17" i="1" s="1"/>
  <c r="F22" i="1" s="1"/>
  <c r="F23" i="1" s="1" a="1"/>
  <c r="F23" i="1" s="1"/>
  <c r="F24" i="1" s="1"/>
</calcChain>
</file>

<file path=xl/sharedStrings.xml><?xml version="1.0" encoding="utf-8"?>
<sst xmlns="http://schemas.openxmlformats.org/spreadsheetml/2006/main" count="172" uniqueCount="51">
  <si>
    <t>Custo</t>
  </si>
  <si>
    <t>Passageiros</t>
  </si>
  <si>
    <t>Aeronaves</t>
  </si>
  <si>
    <t>Doméstico</t>
  </si>
  <si>
    <t>Internacional</t>
  </si>
  <si>
    <t>Logaritmo natural das razões</t>
  </si>
  <si>
    <t>Ponderador</t>
  </si>
  <si>
    <t>Variação da produtividade</t>
  </si>
  <si>
    <t>Ano</t>
  </si>
  <si>
    <t>Produto</t>
  </si>
  <si>
    <t>Receita</t>
  </si>
  <si>
    <t>(R$ de 2010)</t>
  </si>
  <si>
    <t>Conexão</t>
  </si>
  <si>
    <t>BSB</t>
  </si>
  <si>
    <t>GRU</t>
  </si>
  <si>
    <t>VCP</t>
  </si>
  <si>
    <t>Aeronaves Dom</t>
  </si>
  <si>
    <t>Aeronaves Int</t>
  </si>
  <si>
    <t>Pax Dom</t>
  </si>
  <si>
    <t>Pax Int</t>
  </si>
  <si>
    <t>2009/2008</t>
  </si>
  <si>
    <t>2010/2009</t>
  </si>
  <si>
    <t>2013-2014</t>
  </si>
  <si>
    <t>2014-2015</t>
  </si>
  <si>
    <t>2015-2016</t>
  </si>
  <si>
    <t>Razões dos produtos</t>
  </si>
  <si>
    <t>Cálculo (2013-2014)</t>
  </si>
  <si>
    <t>Cálculo (2014-2015)</t>
  </si>
  <si>
    <t>Cálculo (2015-2016)</t>
  </si>
  <si>
    <t>Rec Pax Dom</t>
  </si>
  <si>
    <t>Rec Pax Int</t>
  </si>
  <si>
    <t>Rec Conexão</t>
  </si>
  <si>
    <t>Rec Aeronaves Dom</t>
  </si>
  <si>
    <t>Rec Aeronaves Int</t>
  </si>
  <si>
    <t>Variação Média da Produtividade (Média Geométrica)</t>
  </si>
  <si>
    <t>Média</t>
  </si>
  <si>
    <t>Fator X</t>
  </si>
  <si>
    <t>Aeroportos: BSB, GRU, VCP</t>
  </si>
  <si>
    <t>Rateio</t>
  </si>
  <si>
    <t>Alocação indireta a preços de 2016</t>
  </si>
  <si>
    <t>Inflação</t>
  </si>
  <si>
    <t>IPCA médio</t>
  </si>
  <si>
    <t>Inflator</t>
  </si>
  <si>
    <t>Operações</t>
  </si>
  <si>
    <t>Carga</t>
  </si>
  <si>
    <t>Data</t>
  </si>
  <si>
    <t>Número índice</t>
  </si>
  <si>
    <t>Total nominal</t>
  </si>
  <si>
    <t>2016 - Jan - Abril</t>
  </si>
  <si>
    <t>2016 - Maio - Dez</t>
  </si>
  <si>
    <t>2016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</si>
</sst>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0.000%"/>
    <numFmt numFmtId="165" formatCode="0.000"/>
    <numFmt numFmtId="166" formatCode="[$-416]mmm\-yy;@"/>
    <numFmt numFmtId="167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1" xfId="0" applyBorder="1"/>
    <xf numFmtId="8" fontId="0" fillId="0" borderId="0" xfId="0" applyNumberFormat="1"/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center"/>
    </xf>
    <xf numFmtId="0" fontId="9" fillId="0" borderId="0" xfId="0" applyFont="1"/>
    <xf numFmtId="6" fontId="6" fillId="0" borderId="1" xfId="1" applyNumberFormat="1" applyFont="1" applyBorder="1" applyAlignment="1">
      <alignment horizontal="center"/>
    </xf>
    <xf numFmtId="6" fontId="6" fillId="0" borderId="15" xfId="1" applyNumberFormat="1" applyFont="1" applyFill="1" applyBorder="1" applyAlignment="1">
      <alignment horizontal="center"/>
    </xf>
    <xf numFmtId="6" fontId="6" fillId="0" borderId="13" xfId="1" applyNumberFormat="1" applyFont="1" applyBorder="1" applyAlignment="1">
      <alignment horizontal="center"/>
    </xf>
    <xf numFmtId="6" fontId="6" fillId="0" borderId="25" xfId="1" applyNumberFormat="1" applyFont="1" applyFill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6" fontId="6" fillId="0" borderId="15" xfId="1" applyNumberFormat="1" applyFont="1" applyBorder="1" applyAlignment="1">
      <alignment horizontal="center"/>
    </xf>
    <xf numFmtId="6" fontId="6" fillId="0" borderId="25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3" fillId="4" borderId="16" xfId="0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164" fontId="5" fillId="0" borderId="1" xfId="2" applyNumberFormat="1" applyFont="1" applyBorder="1" applyAlignment="1">
      <alignment horizontal="center"/>
    </xf>
    <xf numFmtId="164" fontId="0" fillId="0" borderId="0" xfId="0" applyNumberFormat="1"/>
    <xf numFmtId="10" fontId="13" fillId="0" borderId="1" xfId="0" applyNumberFormat="1" applyFont="1" applyBorder="1" applyAlignment="1">
      <alignment horizontal="center"/>
    </xf>
    <xf numFmtId="0" fontId="1" fillId="0" borderId="0" xfId="3" applyFont="1" applyAlignment="1">
      <alignment horizontal="center"/>
    </xf>
    <xf numFmtId="0" fontId="2" fillId="0" borderId="1" xfId="3" applyFont="1" applyBorder="1"/>
    <xf numFmtId="14" fontId="10" fillId="0" borderId="0" xfId="3" applyNumberFormat="1"/>
    <xf numFmtId="165" fontId="10" fillId="0" borderId="0" xfId="3" applyNumberFormat="1"/>
    <xf numFmtId="0" fontId="10" fillId="0" borderId="1" xfId="3" applyBorder="1"/>
    <xf numFmtId="10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9" fontId="0" fillId="0" borderId="0" xfId="0" applyNumberFormat="1"/>
    <xf numFmtId="0" fontId="11" fillId="8" borderId="0" xfId="0" applyFont="1" applyFill="1"/>
    <xf numFmtId="166" fontId="0" fillId="0" borderId="0" xfId="0" applyNumberFormat="1"/>
    <xf numFmtId="167" fontId="0" fillId="0" borderId="0" xfId="0" applyNumberFormat="1"/>
    <xf numFmtId="0" fontId="2" fillId="0" borderId="0" xfId="3" applyFont="1" applyBorder="1" applyAlignment="1">
      <alignment horizontal="center"/>
    </xf>
    <xf numFmtId="0" fontId="10" fillId="0" borderId="0" xfId="3"/>
    <xf numFmtId="0" fontId="1" fillId="0" borderId="6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165" fontId="1" fillId="0" borderId="0" xfId="0" applyNumberFormat="1" applyFont="1"/>
    <xf numFmtId="0" fontId="1" fillId="0" borderId="0" xfId="0" applyFont="1"/>
    <xf numFmtId="0" fontId="7" fillId="0" borderId="0" xfId="3" applyFont="1" applyBorder="1" applyAlignment="1">
      <alignment horizontal="center"/>
    </xf>
    <xf numFmtId="0" fontId="7" fillId="0" borderId="0" xfId="3" applyFont="1"/>
    <xf numFmtId="0" fontId="7" fillId="0" borderId="1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14" fontId="7" fillId="0" borderId="0" xfId="3" applyNumberFormat="1" applyFont="1"/>
    <xf numFmtId="0" fontId="7" fillId="0" borderId="1" xfId="3" applyFont="1" applyBorder="1"/>
    <xf numFmtId="10" fontId="7" fillId="0" borderId="1" xfId="3" applyNumberFormat="1" applyFont="1" applyBorder="1" applyAlignment="1">
      <alignment horizontal="center"/>
    </xf>
    <xf numFmtId="8" fontId="7" fillId="0" borderId="1" xfId="3" applyNumberFormat="1" applyFont="1" applyBorder="1" applyAlignment="1">
      <alignment horizontal="center"/>
    </xf>
    <xf numFmtId="8" fontId="7" fillId="0" borderId="0" xfId="3" applyNumberFormat="1" applyFont="1" applyBorder="1" applyAlignment="1">
      <alignment horizontal="center"/>
    </xf>
    <xf numFmtId="8" fontId="7" fillId="0" borderId="1" xfId="3" applyNumberFormat="1" applyFont="1" applyBorder="1"/>
    <xf numFmtId="8" fontId="7" fillId="0" borderId="0" xfId="3" applyNumberFormat="1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acao_sbbr\Contabilidade$\Users\i012753246\AppData\Local\Microsoft\Windows\Temporary%20Internet%20Files\Content.Outlook\UYR7HFG6\PROGRAMA&#199;&#195;O%20FINANCEIRA\Teste%20-%20ACUMUL09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wst214\Documentos\Mis%20Documentos\Costos04\Cierre'04\Cospro12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Gráfico Ebitda Z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ss-ieqsa"/>
      <sheetName val="Macro Print"/>
      <sheetName val="DIS"/>
      <sheetName val="COS"/>
      <sheetName val="X Secciones"/>
      <sheetName val="KARDEX ZN"/>
      <sheetName val="PRODZN"/>
      <sheetName val="CANA"/>
      <sheetName val="MOPE"/>
      <sheetName val="Statements"/>
      <sheetName val="AN1,2,10...12"/>
      <sheetName val="AN-1.2"/>
      <sheetName val="AN-3"/>
      <sheetName val="AN-4"/>
      <sheetName val="AN-5"/>
      <sheetName val="AN-7.2"/>
      <sheetName val="MR.Good"/>
      <sheetName val="EE-9"/>
      <sheetName val="Desval. Existencias"/>
      <sheetName val="Extorno Mód Comercial"/>
      <sheetName val="BD Ing. Aparicio"/>
      <sheetName val="Otros Statement"/>
      <sheetName val="AN-2"/>
      <sheetName val="AN-6"/>
      <sheetName val="AN-7"/>
      <sheetName val="COSACUM"/>
      <sheetName val="GRAF-COS"/>
      <sheetName val="GRAF-COSACUM"/>
      <sheetName val="AN-15"/>
      <sheetName val="AN-X"/>
      <sheetName val="CVTACUM"/>
      <sheetName val="CO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G10">
            <v>2116</v>
          </cell>
        </row>
        <row r="11">
          <cell r="AG11">
            <v>2117</v>
          </cell>
        </row>
        <row r="12">
          <cell r="AG12">
            <v>2118</v>
          </cell>
        </row>
        <row r="13">
          <cell r="AG13">
            <v>2119</v>
          </cell>
        </row>
        <row r="14">
          <cell r="AG14">
            <v>2120</v>
          </cell>
        </row>
        <row r="15">
          <cell r="AG15">
            <v>2130</v>
          </cell>
        </row>
        <row r="17">
          <cell r="AG17" t="str">
            <v>TOTAL GASTOS DE DISTRIBUCIÓN</v>
          </cell>
        </row>
        <row r="23">
          <cell r="AG23">
            <v>2000</v>
          </cell>
        </row>
        <row r="24">
          <cell r="AG24">
            <v>2110</v>
          </cell>
        </row>
        <row r="25">
          <cell r="AG25">
            <v>2150</v>
          </cell>
        </row>
        <row r="27">
          <cell r="AG27" t="str">
            <v>TOTAL GASTOS DE VENTAS</v>
          </cell>
        </row>
        <row r="30">
          <cell r="AG30" t="str">
            <v>3XXX</v>
          </cell>
        </row>
        <row r="31">
          <cell r="AG31" t="str">
            <v>35.9911.</v>
          </cell>
        </row>
        <row r="34">
          <cell r="AG34" t="str">
            <v>DEPRECIACION</v>
          </cell>
        </row>
        <row r="35">
          <cell r="AG35" t="str">
            <v>35.992X</v>
          </cell>
        </row>
        <row r="37">
          <cell r="AG37" t="str">
            <v>AMORTIZACIÓN</v>
          </cell>
        </row>
        <row r="38">
          <cell r="AG38" t="str">
            <v>35.9931</v>
          </cell>
        </row>
        <row r="40">
          <cell r="AG40" t="str">
            <v>IMPRODUCTIVOS</v>
          </cell>
        </row>
        <row r="41">
          <cell r="AG41" t="str">
            <v>35.9410</v>
          </cell>
        </row>
        <row r="42">
          <cell r="AG42" t="str">
            <v>35.9420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showGridLines="0" zoomScale="85" zoomScaleNormal="85" workbookViewId="0">
      <pane ySplit="1" topLeftCell="A73" activePane="bottomLeft" state="frozen"/>
      <selection pane="bottomLeft" activeCell="B99" sqref="B99"/>
    </sheetView>
  </sheetViews>
  <sheetFormatPr defaultColWidth="0" defaultRowHeight="15" zeroHeight="1" x14ac:dyDescent="0.25"/>
  <cols>
    <col min="1" max="1" width="10.7109375" bestFit="1" customWidth="1"/>
    <col min="2" max="2" width="14.140625" bestFit="1" customWidth="1"/>
    <col min="3" max="16384" width="9.140625" hidden="1"/>
  </cols>
  <sheetData>
    <row r="1" spans="1:2" x14ac:dyDescent="0.25">
      <c r="A1" s="43" t="s">
        <v>45</v>
      </c>
      <c r="B1" s="43" t="s">
        <v>46</v>
      </c>
    </row>
    <row r="2" spans="1:2" x14ac:dyDescent="0.25">
      <c r="A2" s="44">
        <v>39814</v>
      </c>
      <c r="B2" s="45">
        <v>2906.7430994431998</v>
      </c>
    </row>
    <row r="3" spans="1:2" x14ac:dyDescent="0.25">
      <c r="A3" s="44">
        <f>EDATE(A2,1)</f>
        <v>39845</v>
      </c>
      <c r="B3" s="45">
        <v>2922.73</v>
      </c>
    </row>
    <row r="4" spans="1:2" x14ac:dyDescent="0.25">
      <c r="A4" s="44">
        <f t="shared" ref="A4:A67" si="0">EDATE(A3,1)</f>
        <v>39873</v>
      </c>
      <c r="B4" s="45">
        <v>2928.57</v>
      </c>
    </row>
    <row r="5" spans="1:2" x14ac:dyDescent="0.25">
      <c r="A5" s="44">
        <f t="shared" si="0"/>
        <v>39904</v>
      </c>
      <c r="B5" s="45">
        <v>2942.63</v>
      </c>
    </row>
    <row r="6" spans="1:2" x14ac:dyDescent="0.25">
      <c r="A6" s="44">
        <f t="shared" si="0"/>
        <v>39934</v>
      </c>
      <c r="B6" s="45">
        <v>2956.46</v>
      </c>
    </row>
    <row r="7" spans="1:2" x14ac:dyDescent="0.25">
      <c r="A7" s="44">
        <f t="shared" si="0"/>
        <v>39965</v>
      </c>
      <c r="B7" s="45">
        <v>2967.1</v>
      </c>
    </row>
    <row r="8" spans="1:2" x14ac:dyDescent="0.25">
      <c r="A8" s="44">
        <f t="shared" si="0"/>
        <v>39995</v>
      </c>
      <c r="B8" s="45">
        <v>2974.22</v>
      </c>
    </row>
    <row r="9" spans="1:2" x14ac:dyDescent="0.25">
      <c r="A9" s="44">
        <f t="shared" si="0"/>
        <v>40026</v>
      </c>
      <c r="B9" s="45">
        <v>2978.68</v>
      </c>
    </row>
    <row r="10" spans="1:2" x14ac:dyDescent="0.25">
      <c r="A10" s="44">
        <f t="shared" si="0"/>
        <v>40057</v>
      </c>
      <c r="B10" s="45">
        <v>2985.83</v>
      </c>
    </row>
    <row r="11" spans="1:2" x14ac:dyDescent="0.25">
      <c r="A11" s="44">
        <f t="shared" si="0"/>
        <v>40087</v>
      </c>
      <c r="B11" s="45">
        <v>2994.19</v>
      </c>
    </row>
    <row r="12" spans="1:2" x14ac:dyDescent="0.25">
      <c r="A12" s="44">
        <f t="shared" si="0"/>
        <v>40118</v>
      </c>
      <c r="B12" s="45">
        <v>3006.47</v>
      </c>
    </row>
    <row r="13" spans="1:2" x14ac:dyDescent="0.25">
      <c r="A13" s="44">
        <f t="shared" si="0"/>
        <v>40148</v>
      </c>
      <c r="B13" s="45">
        <v>3017.59</v>
      </c>
    </row>
    <row r="14" spans="1:2" x14ac:dyDescent="0.25">
      <c r="A14" s="44">
        <f t="shared" si="0"/>
        <v>40179</v>
      </c>
      <c r="B14" s="45">
        <v>3040.22</v>
      </c>
    </row>
    <row r="15" spans="1:2" x14ac:dyDescent="0.25">
      <c r="A15" s="44">
        <f t="shared" si="0"/>
        <v>40210</v>
      </c>
      <c r="B15" s="45">
        <v>3063.93</v>
      </c>
    </row>
    <row r="16" spans="1:2" x14ac:dyDescent="0.25">
      <c r="A16" s="44">
        <f t="shared" si="0"/>
        <v>40238</v>
      </c>
      <c r="B16" s="45">
        <v>3079.86</v>
      </c>
    </row>
    <row r="17" spans="1:2" x14ac:dyDescent="0.25">
      <c r="A17" s="44">
        <f t="shared" si="0"/>
        <v>40269</v>
      </c>
      <c r="B17" s="45">
        <v>3097.42</v>
      </c>
    </row>
    <row r="18" spans="1:2" x14ac:dyDescent="0.25">
      <c r="A18" s="44">
        <f t="shared" si="0"/>
        <v>40299</v>
      </c>
      <c r="B18" s="45">
        <v>3110.74</v>
      </c>
    </row>
    <row r="19" spans="1:2" x14ac:dyDescent="0.25">
      <c r="A19" s="44">
        <f t="shared" si="0"/>
        <v>40330</v>
      </c>
      <c r="B19" s="45">
        <v>3110.74</v>
      </c>
    </row>
    <row r="20" spans="1:2" x14ac:dyDescent="0.25">
      <c r="A20" s="44">
        <f t="shared" si="0"/>
        <v>40360</v>
      </c>
      <c r="B20" s="45">
        <v>3111.05</v>
      </c>
    </row>
    <row r="21" spans="1:2" x14ac:dyDescent="0.25">
      <c r="A21" s="44">
        <f t="shared" si="0"/>
        <v>40391</v>
      </c>
      <c r="B21" s="45">
        <v>3112.29</v>
      </c>
    </row>
    <row r="22" spans="1:2" x14ac:dyDescent="0.25">
      <c r="A22" s="44">
        <f t="shared" si="0"/>
        <v>40422</v>
      </c>
      <c r="B22" s="45">
        <v>3126.29</v>
      </c>
    </row>
    <row r="23" spans="1:2" x14ac:dyDescent="0.25">
      <c r="A23" s="44">
        <f t="shared" si="0"/>
        <v>40452</v>
      </c>
      <c r="B23" s="45">
        <v>3149.74</v>
      </c>
    </row>
    <row r="24" spans="1:2" x14ac:dyDescent="0.25">
      <c r="A24" s="44">
        <f t="shared" si="0"/>
        <v>40483</v>
      </c>
      <c r="B24" s="45">
        <v>3175.88</v>
      </c>
    </row>
    <row r="25" spans="1:2" x14ac:dyDescent="0.25">
      <c r="A25" s="44">
        <f t="shared" si="0"/>
        <v>40513</v>
      </c>
      <c r="B25" s="45">
        <v>3195.89</v>
      </c>
    </row>
    <row r="26" spans="1:2" x14ac:dyDescent="0.25">
      <c r="A26" s="44">
        <f t="shared" si="0"/>
        <v>40544</v>
      </c>
      <c r="B26" s="45">
        <v>3222.42</v>
      </c>
    </row>
    <row r="27" spans="1:2" x14ac:dyDescent="0.25">
      <c r="A27" s="44">
        <f t="shared" si="0"/>
        <v>40575</v>
      </c>
      <c r="B27" s="45">
        <v>3248.2</v>
      </c>
    </row>
    <row r="28" spans="1:2" x14ac:dyDescent="0.25">
      <c r="A28" s="44">
        <f t="shared" si="0"/>
        <v>40603</v>
      </c>
      <c r="B28" s="45">
        <v>3273.86</v>
      </c>
    </row>
    <row r="29" spans="1:2" x14ac:dyDescent="0.25">
      <c r="A29" s="44">
        <f t="shared" si="0"/>
        <v>40634</v>
      </c>
      <c r="B29" s="45">
        <v>3299.07</v>
      </c>
    </row>
    <row r="30" spans="1:2" x14ac:dyDescent="0.25">
      <c r="A30" s="44">
        <f t="shared" si="0"/>
        <v>40664</v>
      </c>
      <c r="B30" s="45">
        <v>3314.58</v>
      </c>
    </row>
    <row r="31" spans="1:2" x14ac:dyDescent="0.25">
      <c r="A31" s="44">
        <f t="shared" si="0"/>
        <v>40695</v>
      </c>
      <c r="B31" s="45">
        <v>3319.55</v>
      </c>
    </row>
    <row r="32" spans="1:2" x14ac:dyDescent="0.25">
      <c r="A32" s="44">
        <f t="shared" si="0"/>
        <v>40725</v>
      </c>
      <c r="B32" s="45">
        <v>3324.86</v>
      </c>
    </row>
    <row r="33" spans="1:2" x14ac:dyDescent="0.25">
      <c r="A33" s="44">
        <f t="shared" si="0"/>
        <v>40756</v>
      </c>
      <c r="B33" s="45">
        <v>3337.16</v>
      </c>
    </row>
    <row r="34" spans="1:2" x14ac:dyDescent="0.25">
      <c r="A34" s="44">
        <f t="shared" si="0"/>
        <v>40787</v>
      </c>
      <c r="B34" s="45">
        <v>3354.8502320497018</v>
      </c>
    </row>
    <row r="35" spans="1:2" x14ac:dyDescent="0.25">
      <c r="A35" s="44">
        <f t="shared" si="0"/>
        <v>40817</v>
      </c>
      <c r="B35" s="45">
        <v>3369.28</v>
      </c>
    </row>
    <row r="36" spans="1:2" x14ac:dyDescent="0.25">
      <c r="A36" s="44">
        <f t="shared" si="0"/>
        <v>40848</v>
      </c>
      <c r="B36" s="45">
        <v>3386.8</v>
      </c>
    </row>
    <row r="37" spans="1:2" x14ac:dyDescent="0.25">
      <c r="A37" s="44">
        <f t="shared" si="0"/>
        <v>40878</v>
      </c>
      <c r="B37" s="45">
        <v>3403.73</v>
      </c>
    </row>
    <row r="38" spans="1:2" x14ac:dyDescent="0.25">
      <c r="A38" s="44">
        <f t="shared" si="0"/>
        <v>40909</v>
      </c>
      <c r="B38" s="45">
        <v>3422.79</v>
      </c>
    </row>
    <row r="39" spans="1:2" x14ac:dyDescent="0.25">
      <c r="A39" s="44">
        <f t="shared" si="0"/>
        <v>40940</v>
      </c>
      <c r="B39" s="45">
        <v>3438.19</v>
      </c>
    </row>
    <row r="40" spans="1:2" x14ac:dyDescent="0.25">
      <c r="A40" s="44">
        <f t="shared" si="0"/>
        <v>40969</v>
      </c>
      <c r="B40" s="45">
        <v>3445.41</v>
      </c>
    </row>
    <row r="41" spans="1:2" x14ac:dyDescent="0.25">
      <c r="A41" s="44">
        <f t="shared" si="0"/>
        <v>41000</v>
      </c>
      <c r="B41" s="45">
        <v>3467.46</v>
      </c>
    </row>
    <row r="42" spans="1:2" x14ac:dyDescent="0.25">
      <c r="A42" s="44">
        <f t="shared" si="0"/>
        <v>41030</v>
      </c>
      <c r="B42" s="45">
        <v>3479.94</v>
      </c>
    </row>
    <row r="43" spans="1:2" x14ac:dyDescent="0.25">
      <c r="A43" s="44">
        <f t="shared" si="0"/>
        <v>41061</v>
      </c>
      <c r="B43" s="45">
        <v>3482.72</v>
      </c>
    </row>
    <row r="44" spans="1:2" x14ac:dyDescent="0.25">
      <c r="A44" s="44">
        <f t="shared" si="0"/>
        <v>41091</v>
      </c>
      <c r="B44" s="45">
        <v>3497.7</v>
      </c>
    </row>
    <row r="45" spans="1:2" x14ac:dyDescent="0.25">
      <c r="A45" s="44">
        <f t="shared" si="0"/>
        <v>41122</v>
      </c>
      <c r="B45" s="45">
        <v>3512.04</v>
      </c>
    </row>
    <row r="46" spans="1:2" x14ac:dyDescent="0.25">
      <c r="A46" s="44">
        <f t="shared" si="0"/>
        <v>41153</v>
      </c>
      <c r="B46" s="45">
        <v>3532.06</v>
      </c>
    </row>
    <row r="47" spans="1:2" x14ac:dyDescent="0.25">
      <c r="A47" s="44">
        <f t="shared" si="0"/>
        <v>41183</v>
      </c>
      <c r="B47" s="45">
        <v>3552.9</v>
      </c>
    </row>
    <row r="48" spans="1:2" x14ac:dyDescent="0.25">
      <c r="A48" s="44">
        <f t="shared" si="0"/>
        <v>41214</v>
      </c>
      <c r="B48" s="45">
        <v>3574.22</v>
      </c>
    </row>
    <row r="49" spans="1:2" x14ac:dyDescent="0.25">
      <c r="A49" s="44">
        <f t="shared" si="0"/>
        <v>41244</v>
      </c>
      <c r="B49" s="45">
        <v>3602.46</v>
      </c>
    </row>
    <row r="50" spans="1:2" x14ac:dyDescent="0.25">
      <c r="A50" s="44">
        <f t="shared" si="0"/>
        <v>41275</v>
      </c>
      <c r="B50" s="45">
        <v>3633.44</v>
      </c>
    </row>
    <row r="51" spans="1:2" x14ac:dyDescent="0.25">
      <c r="A51" s="44">
        <f t="shared" si="0"/>
        <v>41306</v>
      </c>
      <c r="B51" s="45">
        <v>3655.24</v>
      </c>
    </row>
    <row r="52" spans="1:2" x14ac:dyDescent="0.25">
      <c r="A52" s="44">
        <f t="shared" si="0"/>
        <v>41334</v>
      </c>
      <c r="B52" s="45">
        <v>3672.42</v>
      </c>
    </row>
    <row r="53" spans="1:2" x14ac:dyDescent="0.25">
      <c r="A53" s="44">
        <f t="shared" si="0"/>
        <v>41365</v>
      </c>
      <c r="B53" s="45">
        <v>3692.62</v>
      </c>
    </row>
    <row r="54" spans="1:2" x14ac:dyDescent="0.25">
      <c r="A54" s="44">
        <f t="shared" si="0"/>
        <v>41395</v>
      </c>
      <c r="B54" s="45">
        <v>3706.2809977470001</v>
      </c>
    </row>
    <row r="55" spans="1:2" x14ac:dyDescent="0.25">
      <c r="A55" s="44">
        <f t="shared" si="0"/>
        <v>41426</v>
      </c>
      <c r="B55" s="45">
        <v>3715.92</v>
      </c>
    </row>
    <row r="56" spans="1:2" x14ac:dyDescent="0.25">
      <c r="A56" s="44">
        <f t="shared" si="0"/>
        <v>41456</v>
      </c>
      <c r="B56" s="45">
        <v>3717.03</v>
      </c>
    </row>
    <row r="57" spans="1:2" x14ac:dyDescent="0.25">
      <c r="A57" s="44">
        <f t="shared" si="0"/>
        <v>41487</v>
      </c>
      <c r="B57" s="45">
        <v>3725.95</v>
      </c>
    </row>
    <row r="58" spans="1:2" x14ac:dyDescent="0.25">
      <c r="A58" s="44">
        <f t="shared" si="0"/>
        <v>41518</v>
      </c>
      <c r="B58" s="45">
        <v>3738.99</v>
      </c>
    </row>
    <row r="59" spans="1:2" x14ac:dyDescent="0.25">
      <c r="A59" s="44">
        <f t="shared" si="0"/>
        <v>41548</v>
      </c>
      <c r="B59" s="45">
        <v>3760.3</v>
      </c>
    </row>
    <row r="60" spans="1:2" x14ac:dyDescent="0.25">
      <c r="A60" s="44">
        <f t="shared" si="0"/>
        <v>41579</v>
      </c>
      <c r="B60" s="45">
        <v>3780.61</v>
      </c>
    </row>
    <row r="61" spans="1:2" x14ac:dyDescent="0.25">
      <c r="A61" s="44">
        <f t="shared" si="0"/>
        <v>41609</v>
      </c>
      <c r="B61" s="45">
        <v>3815.39</v>
      </c>
    </row>
    <row r="62" spans="1:2" x14ac:dyDescent="0.25">
      <c r="A62" s="44">
        <f t="shared" si="0"/>
        <v>41640</v>
      </c>
      <c r="B62" s="45">
        <v>3836.37</v>
      </c>
    </row>
    <row r="63" spans="1:2" x14ac:dyDescent="0.25">
      <c r="A63" s="44">
        <f t="shared" si="0"/>
        <v>41671</v>
      </c>
      <c r="B63" s="45">
        <v>3862.84</v>
      </c>
    </row>
    <row r="64" spans="1:2" x14ac:dyDescent="0.25">
      <c r="A64" s="44">
        <f t="shared" si="0"/>
        <v>41699</v>
      </c>
      <c r="B64" s="45">
        <v>3898.38</v>
      </c>
    </row>
    <row r="65" spans="1:2" x14ac:dyDescent="0.25">
      <c r="A65" s="44">
        <f t="shared" si="0"/>
        <v>41730</v>
      </c>
      <c r="B65" s="45">
        <v>3924.5</v>
      </c>
    </row>
    <row r="66" spans="1:2" x14ac:dyDescent="0.25">
      <c r="A66" s="44">
        <f t="shared" si="0"/>
        <v>41760</v>
      </c>
      <c r="B66" s="45">
        <v>3942.55</v>
      </c>
    </row>
    <row r="67" spans="1:2" x14ac:dyDescent="0.25">
      <c r="A67" s="44">
        <f t="shared" si="0"/>
        <v>41791</v>
      </c>
      <c r="B67" s="45">
        <v>3958.3202000000001</v>
      </c>
    </row>
    <row r="68" spans="1:2" x14ac:dyDescent="0.25">
      <c r="A68" s="44">
        <f t="shared" ref="A68:A97" si="1">EDATE(A67,1)</f>
        <v>41821</v>
      </c>
      <c r="B68" s="45">
        <v>3958.72</v>
      </c>
    </row>
    <row r="69" spans="1:2" x14ac:dyDescent="0.25">
      <c r="A69" s="44">
        <f t="shared" si="1"/>
        <v>41852</v>
      </c>
      <c r="B69" s="45">
        <v>3968.62</v>
      </c>
    </row>
    <row r="70" spans="1:2" x14ac:dyDescent="0.25">
      <c r="A70" s="44">
        <f t="shared" si="1"/>
        <v>41883</v>
      </c>
      <c r="B70" s="45">
        <v>3991.24</v>
      </c>
    </row>
    <row r="71" spans="1:2" x14ac:dyDescent="0.25">
      <c r="A71" s="44">
        <f t="shared" si="1"/>
        <v>41913</v>
      </c>
      <c r="B71" s="45">
        <v>4008</v>
      </c>
    </row>
    <row r="72" spans="1:2" x14ac:dyDescent="0.25">
      <c r="A72" s="44">
        <f t="shared" si="1"/>
        <v>41944</v>
      </c>
      <c r="B72" s="45">
        <v>4028.44</v>
      </c>
    </row>
    <row r="73" spans="1:2" x14ac:dyDescent="0.25">
      <c r="A73" s="44">
        <f t="shared" si="1"/>
        <v>41974</v>
      </c>
      <c r="B73" s="45">
        <v>4059.8629999999998</v>
      </c>
    </row>
    <row r="74" spans="1:2" x14ac:dyDescent="0.25">
      <c r="A74" s="44">
        <f t="shared" si="1"/>
        <v>42005</v>
      </c>
      <c r="B74" s="45">
        <v>4110.2</v>
      </c>
    </row>
    <row r="75" spans="1:2" x14ac:dyDescent="0.25">
      <c r="A75" s="44">
        <f t="shared" si="1"/>
        <v>42036</v>
      </c>
      <c r="B75" s="45">
        <v>4160.34</v>
      </c>
    </row>
    <row r="76" spans="1:2" x14ac:dyDescent="0.25">
      <c r="A76" s="44">
        <f t="shared" si="1"/>
        <v>42064</v>
      </c>
      <c r="B76" s="45">
        <v>4215.26</v>
      </c>
    </row>
    <row r="77" spans="1:2" x14ac:dyDescent="0.25">
      <c r="A77" s="44">
        <f t="shared" si="1"/>
        <v>42095</v>
      </c>
      <c r="B77" s="45">
        <v>4245.1899999999996</v>
      </c>
    </row>
    <row r="78" spans="1:2" x14ac:dyDescent="0.25">
      <c r="A78" s="44">
        <f t="shared" si="1"/>
        <v>42125</v>
      </c>
      <c r="B78" s="45">
        <v>4276.6000000000004</v>
      </c>
    </row>
    <row r="79" spans="1:2" x14ac:dyDescent="0.25">
      <c r="A79" s="44">
        <f t="shared" si="1"/>
        <v>42156</v>
      </c>
      <c r="B79" s="45">
        <v>4310.3900000000003</v>
      </c>
    </row>
    <row r="80" spans="1:2" x14ac:dyDescent="0.25">
      <c r="A80" s="44">
        <f t="shared" si="1"/>
        <v>42186</v>
      </c>
      <c r="B80" s="45">
        <v>4337.1099999999997</v>
      </c>
    </row>
    <row r="81" spans="1:2" x14ac:dyDescent="0.25">
      <c r="A81" s="44">
        <f t="shared" si="1"/>
        <v>42217</v>
      </c>
      <c r="B81" s="45">
        <v>4346.6499999999996</v>
      </c>
    </row>
    <row r="82" spans="1:2" x14ac:dyDescent="0.25">
      <c r="A82" s="44">
        <f t="shared" si="1"/>
        <v>42248</v>
      </c>
      <c r="B82" s="45">
        <v>4370.12</v>
      </c>
    </row>
    <row r="83" spans="1:2" x14ac:dyDescent="0.25">
      <c r="A83" s="44">
        <f t="shared" si="1"/>
        <v>42278</v>
      </c>
      <c r="B83" s="45">
        <v>4405.95</v>
      </c>
    </row>
    <row r="84" spans="1:2" x14ac:dyDescent="0.25">
      <c r="A84" s="44">
        <f t="shared" si="1"/>
        <v>42309</v>
      </c>
      <c r="B84" s="45">
        <v>4450.45</v>
      </c>
    </row>
    <row r="85" spans="1:2" x14ac:dyDescent="0.25">
      <c r="A85" s="44">
        <f t="shared" si="1"/>
        <v>42339</v>
      </c>
      <c r="B85" s="45">
        <v>4493.17</v>
      </c>
    </row>
    <row r="86" spans="1:2" x14ac:dyDescent="0.25">
      <c r="A86" s="44">
        <f t="shared" si="1"/>
        <v>42370</v>
      </c>
      <c r="B86" s="45">
        <v>4550.2299999999996</v>
      </c>
    </row>
    <row r="87" spans="1:2" x14ac:dyDescent="0.25">
      <c r="A87" s="44">
        <f t="shared" si="1"/>
        <v>42401</v>
      </c>
      <c r="B87" s="45">
        <v>4591.18</v>
      </c>
    </row>
    <row r="88" spans="1:2" x14ac:dyDescent="0.25">
      <c r="A88" s="44">
        <f t="shared" si="1"/>
        <v>42430</v>
      </c>
      <c r="B88" s="45">
        <v>4610.92</v>
      </c>
    </row>
    <row r="89" spans="1:2" x14ac:dyDescent="0.25">
      <c r="A89" s="44">
        <f t="shared" si="1"/>
        <v>42461</v>
      </c>
      <c r="B89" s="45">
        <v>4639.05</v>
      </c>
    </row>
    <row r="90" spans="1:2" x14ac:dyDescent="0.25">
      <c r="A90" s="44">
        <f t="shared" si="1"/>
        <v>42491</v>
      </c>
      <c r="B90" s="45">
        <v>4675.2299999999996</v>
      </c>
    </row>
    <row r="91" spans="1:2" x14ac:dyDescent="0.25">
      <c r="A91" s="44">
        <f t="shared" si="1"/>
        <v>42522</v>
      </c>
      <c r="B91" s="45">
        <v>4691.59</v>
      </c>
    </row>
    <row r="92" spans="1:2" x14ac:dyDescent="0.25">
      <c r="A92" s="44">
        <f t="shared" si="1"/>
        <v>42552</v>
      </c>
      <c r="B92" s="45">
        <v>4715.99</v>
      </c>
    </row>
    <row r="93" spans="1:2" x14ac:dyDescent="0.25">
      <c r="A93" s="44">
        <f t="shared" si="1"/>
        <v>42583</v>
      </c>
      <c r="B93" s="45">
        <v>4736.74</v>
      </c>
    </row>
    <row r="94" spans="1:2" x14ac:dyDescent="0.25">
      <c r="A94" s="44">
        <f t="shared" si="1"/>
        <v>42614</v>
      </c>
      <c r="B94" s="45">
        <v>4740.53</v>
      </c>
    </row>
    <row r="95" spans="1:2" x14ac:dyDescent="0.25">
      <c r="A95" s="44">
        <f t="shared" si="1"/>
        <v>42644</v>
      </c>
      <c r="B95" s="45">
        <v>4752.8599999999997</v>
      </c>
    </row>
    <row r="96" spans="1:2" x14ac:dyDescent="0.25">
      <c r="A96" s="44">
        <f t="shared" si="1"/>
        <v>42675</v>
      </c>
      <c r="B96" s="45">
        <v>4761.42</v>
      </c>
    </row>
    <row r="97" spans="1:2" x14ac:dyDescent="0.25">
      <c r="A97" s="44">
        <f t="shared" si="1"/>
        <v>42705</v>
      </c>
      <c r="B97" s="45">
        <v>4775.7</v>
      </c>
    </row>
    <row r="98" spans="1:2" x14ac:dyDescent="0.25">
      <c r="A98" s="44"/>
      <c r="B98" s="45"/>
    </row>
    <row r="99" spans="1:2" x14ac:dyDescent="0.25"/>
    <row r="100" spans="1:2" x14ac:dyDescent="0.25"/>
  </sheetData>
  <dataConsolidate link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topLeftCell="F1" workbookViewId="0">
      <selection activeCell="O15" sqref="O15"/>
    </sheetView>
  </sheetViews>
  <sheetFormatPr defaultRowHeight="15" x14ac:dyDescent="0.25"/>
  <cols>
    <col min="1" max="1" width="9.85546875" customWidth="1"/>
    <col min="2" max="2" width="10.5703125" customWidth="1"/>
    <col min="6" max="9" width="16.85546875" customWidth="1"/>
    <col min="11" max="14" width="16.140625" customWidth="1"/>
    <col min="17" max="17" width="11.5703125" customWidth="1"/>
    <col min="18" max="18" width="12.5703125" bestFit="1" customWidth="1"/>
  </cols>
  <sheetData>
    <row r="1" spans="1:19" x14ac:dyDescent="0.25">
      <c r="A1" s="63"/>
      <c r="B1" s="63" t="s">
        <v>38</v>
      </c>
      <c r="C1" s="63"/>
      <c r="D1" s="63"/>
      <c r="E1" s="63"/>
      <c r="F1" s="64" t="s">
        <v>39</v>
      </c>
      <c r="G1" s="64"/>
      <c r="H1" s="64"/>
      <c r="I1" s="64"/>
      <c r="K1" s="63" t="s">
        <v>47</v>
      </c>
      <c r="L1" s="63"/>
      <c r="M1" s="63"/>
      <c r="N1" s="63"/>
      <c r="Q1" s="35" t="s">
        <v>40</v>
      </c>
      <c r="R1" s="35" t="s">
        <v>41</v>
      </c>
      <c r="S1" s="36" t="s">
        <v>42</v>
      </c>
    </row>
    <row r="2" spans="1:19" x14ac:dyDescent="0.25">
      <c r="A2" s="63"/>
      <c r="B2" s="27">
        <v>2013</v>
      </c>
      <c r="C2" s="27">
        <v>2014</v>
      </c>
      <c r="D2" s="27">
        <v>2015</v>
      </c>
      <c r="E2" s="27">
        <v>2016</v>
      </c>
      <c r="F2" s="27">
        <v>2013</v>
      </c>
      <c r="G2" s="27">
        <v>2014</v>
      </c>
      <c r="H2" s="27">
        <v>2015</v>
      </c>
      <c r="I2" s="27">
        <v>2016</v>
      </c>
      <c r="K2" s="27">
        <v>2013</v>
      </c>
      <c r="L2" s="27">
        <v>2014</v>
      </c>
      <c r="M2" s="27">
        <v>2015</v>
      </c>
      <c r="N2" s="27">
        <v>2016</v>
      </c>
      <c r="P2">
        <f>YEAR(Q2)</f>
        <v>2013</v>
      </c>
      <c r="Q2" s="37">
        <v>41275</v>
      </c>
      <c r="R2" s="38">
        <f ca="1">GEOMEAN(INDIRECT("IPCA!B" &amp; MATCH(Q2,IPCA!A:A,0) &amp; ":B" &amp; MATCH(Q2,IPCA!A:A,0)+11))</f>
        <v>3717.5174959109704</v>
      </c>
      <c r="S2" s="39">
        <f ca="1">$R$5/R2</f>
        <v>1.2605858083021388</v>
      </c>
    </row>
    <row r="3" spans="1:19" x14ac:dyDescent="0.25">
      <c r="A3" s="10" t="s">
        <v>43</v>
      </c>
      <c r="B3" s="40">
        <f>(B$11/SUM(B$11:B$12))</f>
        <v>0.89666318396200761</v>
      </c>
      <c r="C3" s="40">
        <f>(C$11/SUM(C$11:C$12))</f>
        <v>0.89590918090536975</v>
      </c>
      <c r="D3" s="40">
        <f>(D$11/SUM(D$11:D$12))</f>
        <v>0.90450091979286906</v>
      </c>
      <c r="E3" s="40">
        <f>(E$11/SUM(E$11:E$12))</f>
        <v>0.9300294664575236</v>
      </c>
      <c r="F3" s="41">
        <f t="shared" ref="F3:I4" ca="1" si="0">K$3*B3*VLOOKUP(F$2,$P$2:$S$5,4,0)</f>
        <v>172140419.0282014</v>
      </c>
      <c r="G3" s="41">
        <f t="shared" ca="1" si="0"/>
        <v>172775022.23343295</v>
      </c>
      <c r="H3" s="41">
        <f t="shared" ca="1" si="0"/>
        <v>180836414.62187356</v>
      </c>
      <c r="I3" s="41">
        <f t="shared" ca="1" si="0"/>
        <v>158221606.88738224</v>
      </c>
      <c r="K3" s="41">
        <v>152293407.46000007</v>
      </c>
      <c r="L3" s="41">
        <v>162659725.10469854</v>
      </c>
      <c r="M3" s="41">
        <v>183822731.19940385</v>
      </c>
      <c r="N3" s="41">
        <v>170125369.77999991</v>
      </c>
      <c r="P3">
        <f t="shared" ref="P3:P5" si="1">YEAR(Q3)</f>
        <v>2014</v>
      </c>
      <c r="Q3" s="37">
        <v>41640</v>
      </c>
      <c r="R3" s="38">
        <f ca="1">GEOMEAN(INDIRECT("IPCA!B" &amp; MATCH(Q3,IPCA!A:A,0) &amp; ":B" &amp; MATCH(Q3,IPCA!A:A,0)+11))</f>
        <v>3952.6512574855201</v>
      </c>
      <c r="S3" s="39">
        <f ca="1">$R$5/R3</f>
        <v>1.1855965761172242</v>
      </c>
    </row>
    <row r="4" spans="1:19" x14ac:dyDescent="0.25">
      <c r="A4" s="10" t="s">
        <v>44</v>
      </c>
      <c r="B4" s="40">
        <f>(B$12/SUM(B$11:B$12))</f>
        <v>0.10333681603799239</v>
      </c>
      <c r="C4" s="40">
        <f>(C$12/SUM(C$11:C$12))</f>
        <v>0.10409081909463025</v>
      </c>
      <c r="D4" s="40">
        <f>(D$12/SUM(D$11:D$12))</f>
        <v>9.5499080207130868E-2</v>
      </c>
      <c r="E4" s="40">
        <f>(E$12/SUM(E$11:E$12))</f>
        <v>6.9970533542476371E-2</v>
      </c>
      <c r="F4" s="41">
        <f t="shared" ca="1" si="0"/>
        <v>19838489.113849781</v>
      </c>
      <c r="G4" s="41">
        <f t="shared" ca="1" si="0"/>
        <v>20073790.92286652</v>
      </c>
      <c r="H4" s="41">
        <f t="shared" ca="1" si="0"/>
        <v>19093083.142799947</v>
      </c>
      <c r="I4" s="41">
        <f t="shared" ca="1" si="0"/>
        <v>11903762.89261768</v>
      </c>
      <c r="K4" s="11"/>
      <c r="L4" s="11"/>
      <c r="M4" s="11"/>
      <c r="P4">
        <f t="shared" si="1"/>
        <v>2015</v>
      </c>
      <c r="Q4" s="37">
        <v>42005</v>
      </c>
      <c r="R4" s="38">
        <f ca="1">GEOMEAN(INDIRECT("IPCA!B" &amp; MATCH(Q4,IPCA!A:A,0) &amp; ":B" &amp; MATCH(Q4,IPCA!A:A,0)+11))</f>
        <v>4308.7150544726292</v>
      </c>
      <c r="S4" s="39">
        <f ca="1">$R$5/R4</f>
        <v>1.0876211905903936</v>
      </c>
    </row>
    <row r="5" spans="1:19" x14ac:dyDescent="0.25">
      <c r="P5">
        <f t="shared" si="1"/>
        <v>2016</v>
      </c>
      <c r="Q5" s="37">
        <v>42370</v>
      </c>
      <c r="R5" s="38">
        <f ca="1">GEOMEAN(INDIRECT("IPCA!B" &amp; MATCH(Q5,IPCA!A:A,0) &amp; ":B" &amp; MATCH(Q5,IPCA!A:A,0)+11))</f>
        <v>4686.2497974602738</v>
      </c>
      <c r="S5" s="39">
        <f ca="1">$R$5/R5</f>
        <v>1</v>
      </c>
    </row>
    <row r="9" spans="1:19" x14ac:dyDescent="0.25">
      <c r="A9" s="65"/>
      <c r="B9" s="63" t="s">
        <v>38</v>
      </c>
      <c r="C9" s="63"/>
      <c r="D9" s="63"/>
      <c r="E9" s="63"/>
    </row>
    <row r="10" spans="1:19" x14ac:dyDescent="0.25">
      <c r="A10" s="66"/>
      <c r="B10" s="27">
        <v>2013</v>
      </c>
      <c r="C10" s="27">
        <v>2014</v>
      </c>
      <c r="D10" s="27">
        <v>2015</v>
      </c>
      <c r="E10" s="27">
        <v>2016</v>
      </c>
    </row>
    <row r="11" spans="1:19" x14ac:dyDescent="0.25">
      <c r="A11" s="10" t="s">
        <v>43</v>
      </c>
      <c r="B11" s="40">
        <v>0.16202279771355771</v>
      </c>
      <c r="C11" s="40">
        <v>0.16052888540213076</v>
      </c>
      <c r="D11" s="40">
        <v>0.16976344000758301</v>
      </c>
      <c r="E11" s="40">
        <v>0.23055723370783915</v>
      </c>
      <c r="I11" s="42"/>
    </row>
    <row r="12" spans="1:19" x14ac:dyDescent="0.25">
      <c r="A12" s="10" t="s">
        <v>44</v>
      </c>
      <c r="B12" s="40">
        <v>1.8672474057991634E-2</v>
      </c>
      <c r="C12" s="40">
        <v>1.8650978833557427E-2</v>
      </c>
      <c r="D12" s="40">
        <v>1.792397555243529E-2</v>
      </c>
      <c r="E12" s="40">
        <v>1.734591562573003E-2</v>
      </c>
    </row>
  </sheetData>
  <mergeCells count="6">
    <mergeCell ref="A1:A2"/>
    <mergeCell ref="B1:E1"/>
    <mergeCell ref="F1:I1"/>
    <mergeCell ref="K1:N1"/>
    <mergeCell ref="A9:A10"/>
    <mergeCell ref="B9:E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topLeftCell="G1" workbookViewId="0">
      <selection activeCell="R2" sqref="R2"/>
    </sheetView>
  </sheetViews>
  <sheetFormatPr defaultRowHeight="15" x14ac:dyDescent="0.25"/>
  <cols>
    <col min="1" max="1" width="11" customWidth="1"/>
    <col min="2" max="3" width="9.140625" customWidth="1"/>
    <col min="4" max="4" width="11" customWidth="1"/>
    <col min="5" max="5" width="16.5703125" customWidth="1"/>
    <col min="6" max="9" width="18.140625" bestFit="1" customWidth="1"/>
    <col min="11" max="12" width="21" customWidth="1"/>
    <col min="13" max="13" width="19" customWidth="1"/>
    <col min="14" max="14" width="22.28515625" customWidth="1"/>
    <col min="15" max="15" width="18" customWidth="1"/>
    <col min="16" max="16" width="11" bestFit="1" customWidth="1"/>
    <col min="17" max="17" width="11.5703125" customWidth="1"/>
    <col min="18" max="18" width="12.5703125" bestFit="1" customWidth="1"/>
  </cols>
  <sheetData>
    <row r="1" spans="1:19" x14ac:dyDescent="0.25">
      <c r="A1" s="63"/>
      <c r="B1" s="63" t="s">
        <v>38</v>
      </c>
      <c r="C1" s="63"/>
      <c r="D1" s="63"/>
      <c r="E1" s="63"/>
      <c r="F1" s="64" t="s">
        <v>39</v>
      </c>
      <c r="G1" s="64"/>
      <c r="H1" s="64"/>
      <c r="I1" s="64"/>
      <c r="K1" s="63" t="s">
        <v>47</v>
      </c>
      <c r="L1" s="63"/>
      <c r="M1" s="63"/>
      <c r="N1" s="63"/>
      <c r="Q1" s="35" t="s">
        <v>40</v>
      </c>
      <c r="R1" s="35" t="s">
        <v>41</v>
      </c>
      <c r="S1" s="36" t="s">
        <v>42</v>
      </c>
    </row>
    <row r="2" spans="1:19" x14ac:dyDescent="0.25">
      <c r="A2" s="63"/>
      <c r="B2" s="27">
        <v>2013</v>
      </c>
      <c r="C2" s="27">
        <v>2014</v>
      </c>
      <c r="D2" s="27">
        <v>2015</v>
      </c>
      <c r="E2" s="27">
        <v>2016</v>
      </c>
      <c r="F2" s="27">
        <v>2013</v>
      </c>
      <c r="G2" s="27">
        <v>2014</v>
      </c>
      <c r="H2" s="27">
        <v>2015</v>
      </c>
      <c r="I2" s="27">
        <v>2016</v>
      </c>
      <c r="K2" s="27">
        <v>2013</v>
      </c>
      <c r="L2" s="27">
        <v>2014</v>
      </c>
      <c r="M2" s="27">
        <v>2015</v>
      </c>
      <c r="N2" s="27">
        <v>2016</v>
      </c>
      <c r="P2">
        <f>YEAR(Q2)</f>
        <v>2013</v>
      </c>
      <c r="Q2" s="37">
        <v>41275</v>
      </c>
      <c r="R2" s="38">
        <f ca="1">GEOMEAN(INDIRECT("IPCA!B" &amp; MATCH(Q2,IPCA!A:A,0) &amp; ":B" &amp; MATCH(Q2,IPCA!A:A,0)+11))</f>
        <v>3717.5174959109704</v>
      </c>
      <c r="S2" s="39">
        <f ca="1">$R$5/R2</f>
        <v>1.2605858083021388</v>
      </c>
    </row>
    <row r="3" spans="1:19" x14ac:dyDescent="0.25">
      <c r="A3" s="10" t="s">
        <v>43</v>
      </c>
      <c r="B3" s="40">
        <f>(B$11/SUM(B$11:B$12))</f>
        <v>0.66626970446433909</v>
      </c>
      <c r="C3" s="40">
        <f t="shared" ref="C3:E3" si="0">(C$11/SUM(C$11:C$12))</f>
        <v>0.53252382394967157</v>
      </c>
      <c r="D3" s="40">
        <f t="shared" si="0"/>
        <v>0.73196977752459635</v>
      </c>
      <c r="E3" s="40">
        <f t="shared" si="0"/>
        <v>0.76351200754558801</v>
      </c>
      <c r="F3" s="41">
        <f ca="1">K$3*(B$3/SUM(B$3:B$4))*VLOOKUP(F$2,$P$2:$S$5,4,0)</f>
        <v>410358300.09435409</v>
      </c>
      <c r="G3" s="41">
        <f ca="1">L$3*(C$3/SUM(C$3:C$4))*VLOOKUP(G$2,$P$2:$S$5,4,0)</f>
        <v>334795408.19345379</v>
      </c>
      <c r="H3" s="41">
        <f t="shared" ref="H3:I3" ca="1" si="1">M$3*(D$3/SUM(D$3:D$4))*VLOOKUP(H$2,$P$2:$S$5,4,0)</f>
        <v>443655925.99025178</v>
      </c>
      <c r="I3" s="41">
        <f t="shared" ca="1" si="1"/>
        <v>370557420.47862887</v>
      </c>
      <c r="K3" s="41">
        <v>488585689.3743124</v>
      </c>
      <c r="L3" s="41">
        <v>530277883.89000201</v>
      </c>
      <c r="M3" s="41">
        <v>557282591.32545114</v>
      </c>
      <c r="N3" s="41">
        <v>485332800.03000283</v>
      </c>
      <c r="P3">
        <f t="shared" ref="P3:P5" si="2">YEAR(Q3)</f>
        <v>2014</v>
      </c>
      <c r="Q3" s="37">
        <v>41640</v>
      </c>
      <c r="R3" s="38">
        <f ca="1">GEOMEAN(INDIRECT("IPCA!B" &amp; MATCH(Q3,IPCA!A:A,0) &amp; ":B" &amp; MATCH(Q3,IPCA!A:A,0)+11))</f>
        <v>3952.6512574855201</v>
      </c>
      <c r="S3" s="39">
        <f ca="1">$R$5/R3</f>
        <v>1.1855965761172242</v>
      </c>
    </row>
    <row r="4" spans="1:19" x14ac:dyDescent="0.25">
      <c r="A4" s="10" t="s">
        <v>44</v>
      </c>
      <c r="B4" s="40">
        <f>(B$12/SUM(B$11:B$12))</f>
        <v>0.33373029553566086</v>
      </c>
      <c r="C4" s="40">
        <f t="shared" ref="C4:E4" si="3">(C$12/SUM(C$11:C$12))</f>
        <v>0.46747617605032848</v>
      </c>
      <c r="D4" s="40">
        <f t="shared" si="3"/>
        <v>0.26803022247540353</v>
      </c>
      <c r="E4" s="40">
        <f t="shared" si="3"/>
        <v>0.23648799245441207</v>
      </c>
      <c r="F4" s="41">
        <f ca="1">K$3*(B$4/SUM(B$3:B$4))*VLOOKUP(F$2,$P$2:$S$5,4,0)</f>
        <v>205545886.07042116</v>
      </c>
      <c r="G4" s="41">
        <f ca="1">L$3*(C$4/SUM(C$3:C$4))*VLOOKUP(G$2,$P$2:$S$5,4,0)</f>
        <v>293900235.3372196</v>
      </c>
      <c r="H4" s="41">
        <f t="shared" ref="H4:I4" ca="1" si="4">M$3*(D$4/SUM(D$3:D$4))*VLOOKUP(H$2,$P$2:$S$5,4,0)</f>
        <v>162456429.4824352</v>
      </c>
      <c r="I4" s="41">
        <f t="shared" ca="1" si="4"/>
        <v>114775379.55137399</v>
      </c>
      <c r="K4" s="11"/>
      <c r="L4" s="11"/>
      <c r="M4" s="11"/>
      <c r="P4">
        <f t="shared" si="2"/>
        <v>2015</v>
      </c>
      <c r="Q4" s="37">
        <v>42005</v>
      </c>
      <c r="R4" s="38">
        <f ca="1">GEOMEAN(INDIRECT("IPCA!B" &amp; MATCH(Q4,IPCA!A:A,0) &amp; ":B" &amp; MATCH(Q4,IPCA!A:A,0)+11))</f>
        <v>4308.7150544726292</v>
      </c>
      <c r="S4" s="39">
        <f ca="1">$R$5/R4</f>
        <v>1.0876211905903936</v>
      </c>
    </row>
    <row r="5" spans="1:19" x14ac:dyDescent="0.25">
      <c r="P5">
        <f t="shared" si="2"/>
        <v>2016</v>
      </c>
      <c r="Q5" s="37">
        <v>42370</v>
      </c>
      <c r="R5" s="38">
        <f ca="1">GEOMEAN(INDIRECT("IPCA!B" &amp; MATCH(Q5,IPCA!A:A,0) &amp; ":B" &amp; MATCH(Q5,IPCA!A:A,0)+11))</f>
        <v>4686.2497974602738</v>
      </c>
      <c r="S5" s="39">
        <f ca="1">$R$5/R5</f>
        <v>1</v>
      </c>
    </row>
    <row r="9" spans="1:19" x14ac:dyDescent="0.25">
      <c r="A9" s="67"/>
      <c r="B9" s="63" t="s">
        <v>38</v>
      </c>
      <c r="C9" s="63"/>
      <c r="D9" s="63"/>
      <c r="E9" s="63"/>
    </row>
    <row r="10" spans="1:19" x14ac:dyDescent="0.25">
      <c r="A10" s="63"/>
      <c r="B10" s="27">
        <v>2013</v>
      </c>
      <c r="C10" s="27">
        <v>2014</v>
      </c>
      <c r="D10" s="27">
        <v>2015</v>
      </c>
      <c r="E10" s="27">
        <v>2016</v>
      </c>
    </row>
    <row r="11" spans="1:19" x14ac:dyDescent="0.25">
      <c r="A11" s="10" t="s">
        <v>43</v>
      </c>
      <c r="B11" s="40">
        <v>0.30803216553984542</v>
      </c>
      <c r="C11" s="40">
        <v>0.20892815185364541</v>
      </c>
      <c r="D11" s="40">
        <v>0.35654043541930097</v>
      </c>
      <c r="E11" s="40">
        <v>0.32989780178264067</v>
      </c>
    </row>
    <row r="12" spans="1:19" x14ac:dyDescent="0.25">
      <c r="A12" s="10" t="s">
        <v>44</v>
      </c>
      <c r="B12" s="40">
        <v>0.15429137022333933</v>
      </c>
      <c r="C12" s="40">
        <v>0.1834076319316657</v>
      </c>
      <c r="D12" s="40">
        <v>0.13055677319095496</v>
      </c>
      <c r="E12" s="40">
        <v>0.10218158730665673</v>
      </c>
    </row>
  </sheetData>
  <mergeCells count="6">
    <mergeCell ref="A1:A2"/>
    <mergeCell ref="B1:E1"/>
    <mergeCell ref="F1:I1"/>
    <mergeCell ref="K1:N1"/>
    <mergeCell ref="A9:A10"/>
    <mergeCell ref="B9:E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tabSelected="1" topLeftCell="H1" workbookViewId="0">
      <selection activeCell="S2" sqref="S2"/>
    </sheetView>
  </sheetViews>
  <sheetFormatPr defaultRowHeight="15" x14ac:dyDescent="0.25"/>
  <cols>
    <col min="1" max="1" width="12.42578125" customWidth="1"/>
    <col min="2" max="5" width="8.5703125" customWidth="1"/>
    <col min="6" max="9" width="16.7109375" bestFit="1" customWidth="1"/>
    <col min="10" max="10" width="3.140625" customWidth="1"/>
    <col min="11" max="13" width="16.7109375" bestFit="1" customWidth="1"/>
    <col min="14" max="14" width="15.7109375" bestFit="1" customWidth="1"/>
    <col min="15" max="16" width="16.7109375" bestFit="1" customWidth="1"/>
    <col min="17" max="17" width="16.5703125" customWidth="1"/>
    <col min="18" max="18" width="17.140625" bestFit="1" customWidth="1"/>
    <col min="19" max="19" width="14.5703125" customWidth="1"/>
    <col min="20" max="20" width="9" bestFit="1" customWidth="1"/>
    <col min="21" max="21" width="11.140625" customWidth="1"/>
    <col min="22" max="26" width="6.5703125" bestFit="1" customWidth="1"/>
  </cols>
  <sheetData>
    <row r="1" spans="1:23" s="47" customFormat="1" x14ac:dyDescent="0.25">
      <c r="A1" s="68"/>
      <c r="B1" s="68" t="s">
        <v>38</v>
      </c>
      <c r="C1" s="68"/>
      <c r="D1" s="68"/>
      <c r="E1" s="68"/>
      <c r="F1" s="69" t="s">
        <v>39</v>
      </c>
      <c r="G1" s="69"/>
      <c r="H1" s="69"/>
      <c r="I1" s="69"/>
      <c r="J1" s="46"/>
      <c r="K1" s="70" t="s">
        <v>47</v>
      </c>
      <c r="L1" s="71"/>
      <c r="M1" s="71"/>
      <c r="N1" s="72"/>
      <c r="O1" s="72"/>
      <c r="P1" s="73"/>
      <c r="Q1" s="52"/>
      <c r="R1" s="35" t="s">
        <v>40</v>
      </c>
      <c r="S1" s="35" t="s">
        <v>41</v>
      </c>
      <c r="T1" s="36" t="s">
        <v>42</v>
      </c>
      <c r="U1" s="53"/>
      <c r="V1" s="53"/>
      <c r="W1" s="53"/>
    </row>
    <row r="2" spans="1:23" s="47" customFormat="1" x14ac:dyDescent="0.25">
      <c r="A2" s="68"/>
      <c r="B2" s="54">
        <v>2013</v>
      </c>
      <c r="C2" s="54">
        <v>2014</v>
      </c>
      <c r="D2" s="54">
        <v>2015</v>
      </c>
      <c r="E2" s="54">
        <v>2016</v>
      </c>
      <c r="F2" s="54">
        <v>2013</v>
      </c>
      <c r="G2" s="54">
        <v>2014</v>
      </c>
      <c r="H2" s="54">
        <v>2015</v>
      </c>
      <c r="I2" s="54">
        <v>2016</v>
      </c>
      <c r="J2" s="52"/>
      <c r="K2" s="55">
        <v>2013</v>
      </c>
      <c r="L2" s="55">
        <v>2014</v>
      </c>
      <c r="M2" s="55">
        <v>2015</v>
      </c>
      <c r="N2" s="48" t="s">
        <v>48</v>
      </c>
      <c r="O2" s="48" t="s">
        <v>49</v>
      </c>
      <c r="P2" s="48" t="s">
        <v>50</v>
      </c>
      <c r="Q2" s="49">
        <f>YEAR(R2)</f>
        <v>2013</v>
      </c>
      <c r="R2" s="56">
        <v>41275</v>
      </c>
      <c r="S2" s="53">
        <f ca="1">GEOMEAN(INDIRECT("IPCA!B" &amp; MATCH(R2,IPCA!A:A,0) &amp; ":B" &amp; MATCH(R2,IPCA!A:A,0)+11))</f>
        <v>3717.5174959109704</v>
      </c>
      <c r="T2" s="57">
        <f ca="1">$S$5/S2</f>
        <v>1.2605858083021388</v>
      </c>
      <c r="U2" s="53"/>
      <c r="V2" s="53"/>
      <c r="W2" s="53"/>
    </row>
    <row r="3" spans="1:23" s="47" customFormat="1" x14ac:dyDescent="0.25">
      <c r="A3" s="57" t="s">
        <v>43</v>
      </c>
      <c r="B3" s="58">
        <v>0.44694717875757417</v>
      </c>
      <c r="C3" s="58">
        <v>0.47874346439421817</v>
      </c>
      <c r="D3" s="58">
        <v>0.46622514528815345</v>
      </c>
      <c r="E3" s="58">
        <v>0.55281465794129503</v>
      </c>
      <c r="F3" s="59">
        <f t="shared" ref="F3:H4" ca="1" si="0">B3*K$3*VLOOKUP(F$2,$Q$2:$T$5,4,0)</f>
        <v>110914239.39000659</v>
      </c>
      <c r="G3" s="59">
        <f t="shared" ca="1" si="0"/>
        <v>121938131.93547481</v>
      </c>
      <c r="H3" s="59">
        <f t="shared" ca="1" si="0"/>
        <v>130284631.58512732</v>
      </c>
      <c r="I3" s="59">
        <f ca="1">E3*P$3*VLOOKUP(I$2,$Q$2:$T$5,4,0)</f>
        <v>141420320.31375384</v>
      </c>
      <c r="J3" s="60"/>
      <c r="K3" s="59">
        <v>196860548.82999995</v>
      </c>
      <c r="L3" s="59">
        <v>214832381.50000003</v>
      </c>
      <c r="M3" s="59">
        <v>256932969.16999975</v>
      </c>
      <c r="N3" s="59">
        <v>81747497.219999835</v>
      </c>
      <c r="O3" s="61">
        <v>174071190.44000009</v>
      </c>
      <c r="P3" s="61">
        <v>255818687.65999991</v>
      </c>
      <c r="Q3" s="49">
        <f>YEAR(R3)</f>
        <v>2014</v>
      </c>
      <c r="R3" s="56">
        <v>41640</v>
      </c>
      <c r="S3" s="53">
        <f ca="1">GEOMEAN(INDIRECT("IPCA!B" &amp; MATCH(R3,IPCA!A:A,0) &amp; ":B" &amp; MATCH(R3,IPCA!A:A,0)+11))</f>
        <v>3952.6512574855201</v>
      </c>
      <c r="T3" s="57">
        <f t="shared" ref="T3:T5" ca="1" si="1">$S$5/S3</f>
        <v>1.1855965761172242</v>
      </c>
      <c r="U3" s="53"/>
      <c r="V3" s="53"/>
      <c r="W3" s="53"/>
    </row>
    <row r="4" spans="1:23" s="47" customFormat="1" x14ac:dyDescent="0.25">
      <c r="A4" s="57" t="s">
        <v>44</v>
      </c>
      <c r="B4" s="58">
        <v>0.55305282124242594</v>
      </c>
      <c r="C4" s="58">
        <v>0.52125653560578189</v>
      </c>
      <c r="D4" s="58">
        <v>0.53377485471184649</v>
      </c>
      <c r="E4" s="58">
        <v>0.44718534205870508</v>
      </c>
      <c r="F4" s="59">
        <f t="shared" ca="1" si="0"/>
        <v>137245374.6796616</v>
      </c>
      <c r="G4" s="59">
        <f t="shared" ca="1" si="0"/>
        <v>132766404.01003455</v>
      </c>
      <c r="H4" s="59">
        <f t="shared" ca="1" si="0"/>
        <v>149161110.2454727</v>
      </c>
      <c r="I4" s="59">
        <f ca="1">E4*P$3*VLOOKUP(I$2,$Q$2:$T$5,4,0)</f>
        <v>114398367.34624609</v>
      </c>
      <c r="J4" s="60"/>
      <c r="K4" s="62"/>
      <c r="L4" s="62"/>
      <c r="M4" s="62"/>
      <c r="N4" s="62"/>
      <c r="O4" s="53"/>
      <c r="P4" s="50"/>
      <c r="Q4" s="49">
        <f>YEAR(R4)</f>
        <v>2015</v>
      </c>
      <c r="R4" s="56">
        <v>42005</v>
      </c>
      <c r="S4" s="53">
        <f ca="1">GEOMEAN(INDIRECT("IPCA!B" &amp; MATCH(R4,IPCA!A:A,0) &amp; ":B" &amp; MATCH(R4,IPCA!A:A,0)+11))</f>
        <v>4308.7150544726292</v>
      </c>
      <c r="T4" s="57">
        <f t="shared" ca="1" si="1"/>
        <v>1.0876211905903936</v>
      </c>
      <c r="U4" s="53"/>
      <c r="V4" s="53"/>
      <c r="W4" s="53"/>
    </row>
    <row r="5" spans="1:23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49">
        <f>YEAR(R5)</f>
        <v>2016</v>
      </c>
      <c r="R5" s="56">
        <v>42370</v>
      </c>
      <c r="S5" s="53">
        <f ca="1">GEOMEAN(INDIRECT("IPCA!B" &amp; MATCH(R5,IPCA!A:A,0) &amp; ":B" &amp; MATCH(R5,IPCA!A:A,0)+11))</f>
        <v>4686.2497974602738</v>
      </c>
      <c r="T5" s="57">
        <f t="shared" ca="1" si="1"/>
        <v>1</v>
      </c>
      <c r="U5" s="51"/>
      <c r="V5" s="51"/>
      <c r="W5" s="51"/>
    </row>
    <row r="6" spans="1:23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</sheetData>
  <mergeCells count="4">
    <mergeCell ref="A1:A2"/>
    <mergeCell ref="B1:E1"/>
    <mergeCell ref="F1:I1"/>
    <mergeCell ref="K1:P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AK55"/>
  <sheetViews>
    <sheetView showGridLines="0" topLeftCell="A16" workbookViewId="0">
      <selection activeCell="E16" sqref="E16"/>
    </sheetView>
  </sheetViews>
  <sheetFormatPr defaultRowHeight="15" x14ac:dyDescent="0.25"/>
  <cols>
    <col min="2" max="2" width="17.85546875" customWidth="1"/>
    <col min="3" max="3" width="25.7109375" bestFit="1" customWidth="1"/>
    <col min="4" max="4" width="12" customWidth="1"/>
    <col min="5" max="5" width="13.140625" customWidth="1"/>
    <col min="6" max="6" width="13.28515625" customWidth="1"/>
    <col min="7" max="7" width="11.42578125" bestFit="1" customWidth="1"/>
    <col min="8" max="8" width="14.28515625" customWidth="1"/>
    <col min="9" max="10" width="13.5703125" customWidth="1"/>
    <col min="11" max="11" width="25.7109375" bestFit="1" customWidth="1"/>
    <col min="12" max="12" width="14.7109375" customWidth="1"/>
    <col min="13" max="13" width="13.7109375" bestFit="1" customWidth="1"/>
    <col min="14" max="14" width="14.42578125" customWidth="1"/>
    <col min="15" max="15" width="11.42578125" bestFit="1" customWidth="1"/>
    <col min="16" max="16" width="14.28515625" customWidth="1"/>
    <col min="17" max="17" width="13.5703125" customWidth="1"/>
    <col min="18" max="18" width="11.28515625" customWidth="1"/>
    <col min="19" max="19" width="25.7109375" bestFit="1" customWidth="1"/>
    <col min="20" max="20" width="12.42578125" customWidth="1"/>
    <col min="21" max="21" width="13" customWidth="1"/>
    <col min="22" max="22" width="14.42578125" customWidth="1"/>
    <col min="23" max="23" width="11.42578125" bestFit="1" customWidth="1"/>
    <col min="24" max="24" width="14.28515625" customWidth="1"/>
    <col min="25" max="25" width="13.5703125" customWidth="1"/>
    <col min="27" max="37" width="12.42578125" bestFit="1" customWidth="1"/>
  </cols>
  <sheetData>
    <row r="1" spans="2:37" ht="15.75" thickBot="1" x14ac:dyDescent="0.3"/>
    <row r="2" spans="2:37" x14ac:dyDescent="0.25">
      <c r="B2" s="80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2:37" ht="15.75" thickBot="1" x14ac:dyDescent="0.3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37" x14ac:dyDescent="0.25">
      <c r="B4" s="109" t="s">
        <v>8</v>
      </c>
      <c r="C4" s="110" t="s">
        <v>0</v>
      </c>
      <c r="D4" s="86" t="s">
        <v>9</v>
      </c>
      <c r="E4" s="87"/>
      <c r="F4" s="87"/>
      <c r="G4" s="87"/>
      <c r="H4" s="88"/>
      <c r="I4" s="86" t="s">
        <v>10</v>
      </c>
      <c r="J4" s="87"/>
      <c r="K4" s="87"/>
      <c r="L4" s="87"/>
      <c r="M4" s="89"/>
    </row>
    <row r="5" spans="2:37" x14ac:dyDescent="0.25">
      <c r="B5" s="102"/>
      <c r="C5" s="104" t="s">
        <v>11</v>
      </c>
      <c r="D5" s="90" t="s">
        <v>1</v>
      </c>
      <c r="E5" s="91"/>
      <c r="F5" s="92"/>
      <c r="G5" s="93" t="s">
        <v>2</v>
      </c>
      <c r="H5" s="93"/>
      <c r="I5" s="90" t="s">
        <v>1</v>
      </c>
      <c r="J5" s="91"/>
      <c r="K5" s="92"/>
      <c r="L5" s="93" t="s">
        <v>2</v>
      </c>
      <c r="M5" s="94"/>
    </row>
    <row r="6" spans="2:37" x14ac:dyDescent="0.25">
      <c r="B6" s="102"/>
      <c r="C6" s="104"/>
      <c r="D6" s="5" t="s">
        <v>3</v>
      </c>
      <c r="E6" s="5" t="s">
        <v>4</v>
      </c>
      <c r="F6" s="12" t="s">
        <v>12</v>
      </c>
      <c r="G6" s="5" t="s">
        <v>3</v>
      </c>
      <c r="H6" s="5" t="s">
        <v>4</v>
      </c>
      <c r="I6" s="5" t="s">
        <v>3</v>
      </c>
      <c r="J6" s="5" t="s">
        <v>4</v>
      </c>
      <c r="K6" s="29" t="s">
        <v>12</v>
      </c>
      <c r="L6" s="5" t="s">
        <v>3</v>
      </c>
      <c r="M6" s="7" t="s">
        <v>4</v>
      </c>
    </row>
    <row r="7" spans="2:37" x14ac:dyDescent="0.25">
      <c r="B7" s="8">
        <v>2013</v>
      </c>
      <c r="C7" s="15">
        <f ca="1">SUM('Alocação de Custos - BSB:Alocação de Custos - VCP'!F3)</f>
        <v>693412958.51256204</v>
      </c>
      <c r="D7" s="19">
        <v>30281357</v>
      </c>
      <c r="E7" s="19">
        <v>11271241</v>
      </c>
      <c r="F7" s="19">
        <v>20184840</v>
      </c>
      <c r="G7" s="19">
        <v>505054</v>
      </c>
      <c r="H7" s="19">
        <v>89079</v>
      </c>
      <c r="I7" s="15">
        <v>248465619.10999998</v>
      </c>
      <c r="J7" s="15">
        <v>168462309.13999999</v>
      </c>
      <c r="K7" s="15">
        <v>68984419.950000003</v>
      </c>
      <c r="L7" s="15">
        <v>82457885.140000001</v>
      </c>
      <c r="M7" s="17">
        <v>139178185.88999999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2:37" x14ac:dyDescent="0.25">
      <c r="B8" s="25">
        <v>2014</v>
      </c>
      <c r="C8" s="15">
        <f ca="1">SUM('Alocação de Custos - BSB:Alocação de Custos - VCP'!G3)</f>
        <v>629508562.36236155</v>
      </c>
      <c r="D8" s="19">
        <v>32635695</v>
      </c>
      <c r="E8" s="19">
        <v>12235352</v>
      </c>
      <c r="F8" s="19">
        <v>22659182</v>
      </c>
      <c r="G8" s="19">
        <v>528232</v>
      </c>
      <c r="H8" s="19">
        <v>94700</v>
      </c>
      <c r="I8" s="15">
        <v>291131665.35000002</v>
      </c>
      <c r="J8" s="15">
        <v>203955613.86000001</v>
      </c>
      <c r="K8" s="15">
        <v>82305405.75</v>
      </c>
      <c r="L8" s="15">
        <v>97440149.230000079</v>
      </c>
      <c r="M8" s="17">
        <v>165581546.02999997</v>
      </c>
      <c r="N8" s="2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2:37" x14ac:dyDescent="0.25">
      <c r="B9" s="25">
        <v>2015</v>
      </c>
      <c r="C9" s="15">
        <f ca="1">SUM('Alocação de Custos - BSB:Alocação de Custos - VCP'!H3)</f>
        <v>754776972.19725275</v>
      </c>
      <c r="D9" s="19">
        <v>32734193</v>
      </c>
      <c r="E9" s="19">
        <v>12384545</v>
      </c>
      <c r="F9" s="19">
        <v>24011655</v>
      </c>
      <c r="G9" s="19">
        <v>516832</v>
      </c>
      <c r="H9" s="19">
        <v>94988</v>
      </c>
      <c r="I9" s="15">
        <v>299546730.42526972</v>
      </c>
      <c r="J9" s="15">
        <v>215022356.29473031</v>
      </c>
      <c r="K9" s="15">
        <v>91219751.469999999</v>
      </c>
      <c r="L9" s="15">
        <v>105674047.20486456</v>
      </c>
      <c r="M9" s="17">
        <v>179725967.19513544</v>
      </c>
      <c r="N9" s="2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2:37" ht="15.75" thickBot="1" x14ac:dyDescent="0.3">
      <c r="B10" s="9">
        <v>2016</v>
      </c>
      <c r="C10" s="21">
        <f ca="1">SUM('Alocação de Custos - BSB:Alocação de Custos - VCP'!I3)</f>
        <v>670199347.67976499</v>
      </c>
      <c r="D10" s="20">
        <v>30724084</v>
      </c>
      <c r="E10" s="20">
        <v>11999149</v>
      </c>
      <c r="F10" s="20">
        <v>21155591</v>
      </c>
      <c r="G10" s="20">
        <v>456405</v>
      </c>
      <c r="H10" s="20">
        <v>87526</v>
      </c>
      <c r="I10" s="16">
        <v>307749099.3368187</v>
      </c>
      <c r="J10" s="16">
        <v>224277332.22318128</v>
      </c>
      <c r="K10" s="16">
        <v>87694379.340000004</v>
      </c>
      <c r="L10" s="16">
        <v>106116102.95310141</v>
      </c>
      <c r="M10" s="18">
        <v>184968257.86689857</v>
      </c>
      <c r="N10" s="24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2:37" x14ac:dyDescent="0.25">
      <c r="D11" s="31" t="s">
        <v>18</v>
      </c>
      <c r="E11" s="31" t="s">
        <v>19</v>
      </c>
      <c r="F11" s="31" t="s">
        <v>12</v>
      </c>
      <c r="G11" s="31" t="s">
        <v>16</v>
      </c>
      <c r="H11" s="31" t="s">
        <v>17</v>
      </c>
      <c r="I11" s="31" t="s">
        <v>29</v>
      </c>
      <c r="J11" s="31" t="s">
        <v>30</v>
      </c>
      <c r="K11" s="31" t="s">
        <v>31</v>
      </c>
      <c r="L11" s="31" t="s">
        <v>32</v>
      </c>
      <c r="M11" s="31" t="s">
        <v>33</v>
      </c>
    </row>
    <row r="12" spans="2:37" x14ac:dyDescent="0.25">
      <c r="B12" s="30"/>
      <c r="C12" s="77" t="s">
        <v>26</v>
      </c>
      <c r="D12" s="77" t="s">
        <v>0</v>
      </c>
      <c r="E12" s="74" t="s">
        <v>1</v>
      </c>
      <c r="F12" s="79"/>
      <c r="G12" s="75"/>
      <c r="H12" s="74" t="s">
        <v>2</v>
      </c>
      <c r="I12" s="75"/>
      <c r="K12" s="77" t="s">
        <v>27</v>
      </c>
      <c r="L12" s="77" t="s">
        <v>0</v>
      </c>
      <c r="M12" s="74" t="s">
        <v>1</v>
      </c>
      <c r="N12" s="79"/>
      <c r="O12" s="75"/>
      <c r="P12" s="74" t="s">
        <v>2</v>
      </c>
      <c r="Q12" s="75"/>
      <c r="S12" s="77" t="s">
        <v>28</v>
      </c>
      <c r="T12" s="77" t="s">
        <v>0</v>
      </c>
      <c r="U12" s="74" t="s">
        <v>1</v>
      </c>
      <c r="V12" s="79"/>
      <c r="W12" s="75"/>
      <c r="X12" s="74" t="s">
        <v>2</v>
      </c>
      <c r="Y12" s="75"/>
    </row>
    <row r="13" spans="2:37" x14ac:dyDescent="0.25">
      <c r="C13" s="78"/>
      <c r="D13" s="78"/>
      <c r="E13" s="1" t="s">
        <v>3</v>
      </c>
      <c r="F13" s="1" t="s">
        <v>4</v>
      </c>
      <c r="G13" s="13" t="s">
        <v>12</v>
      </c>
      <c r="H13" s="1" t="s">
        <v>3</v>
      </c>
      <c r="I13" s="1" t="s">
        <v>4</v>
      </c>
      <c r="K13" s="78"/>
      <c r="L13" s="78"/>
      <c r="M13" s="1" t="s">
        <v>3</v>
      </c>
      <c r="N13" s="1" t="s">
        <v>4</v>
      </c>
      <c r="O13" s="13" t="s">
        <v>12</v>
      </c>
      <c r="P13" s="1" t="s">
        <v>3</v>
      </c>
      <c r="Q13" s="1" t="s">
        <v>4</v>
      </c>
      <c r="S13" s="78"/>
      <c r="T13" s="78"/>
      <c r="U13" s="1" t="s">
        <v>3</v>
      </c>
      <c r="V13" s="1" t="s">
        <v>4</v>
      </c>
      <c r="W13" s="13" t="s">
        <v>12</v>
      </c>
      <c r="X13" s="1" t="s">
        <v>3</v>
      </c>
      <c r="Y13" s="1" t="s">
        <v>4</v>
      </c>
    </row>
    <row r="14" spans="2:37" x14ac:dyDescent="0.25">
      <c r="C14" s="2" t="s">
        <v>25</v>
      </c>
      <c r="D14" s="3">
        <f t="shared" ref="D14:I14" ca="1" si="0">C8/C7</f>
        <v>0.90784078179432703</v>
      </c>
      <c r="E14" s="3">
        <f t="shared" si="0"/>
        <v>1.0777487613913737</v>
      </c>
      <c r="F14" s="3">
        <f t="shared" si="0"/>
        <v>1.0855372536174144</v>
      </c>
      <c r="G14" s="3">
        <f t="shared" si="0"/>
        <v>1.1225841770358349</v>
      </c>
      <c r="H14" s="3">
        <f t="shared" si="0"/>
        <v>1.0458921224265127</v>
      </c>
      <c r="I14" s="3">
        <f t="shared" si="0"/>
        <v>1.0631012921114966</v>
      </c>
      <c r="K14" s="2" t="s">
        <v>25</v>
      </c>
      <c r="L14" s="3">
        <f t="shared" ref="L14:Q14" ca="1" si="1">C9/C8</f>
        <v>1.1989939729569292</v>
      </c>
      <c r="M14" s="3">
        <f t="shared" si="1"/>
        <v>1.0030181064015948</v>
      </c>
      <c r="N14" s="3">
        <f t="shared" si="1"/>
        <v>1.0121936009687338</v>
      </c>
      <c r="O14" s="3">
        <f t="shared" si="1"/>
        <v>1.0596876356789933</v>
      </c>
      <c r="P14" s="3">
        <f t="shared" si="1"/>
        <v>0.97841857365702944</v>
      </c>
      <c r="Q14" s="3">
        <f t="shared" si="1"/>
        <v>1.0030411826821541</v>
      </c>
      <c r="S14" s="2" t="s">
        <v>25</v>
      </c>
      <c r="T14" s="3">
        <f ca="1">C10/C9</f>
        <v>0.88794355467513608</v>
      </c>
      <c r="U14" s="3">
        <f t="shared" ref="U14:Y14" si="2">D10/D9</f>
        <v>0.93859298746115416</v>
      </c>
      <c r="V14" s="3">
        <f t="shared" si="2"/>
        <v>0.96888089146593592</v>
      </c>
      <c r="W14" s="3">
        <f t="shared" si="2"/>
        <v>0.88105509595236142</v>
      </c>
      <c r="X14" s="3">
        <f t="shared" si="2"/>
        <v>0.88308192991146062</v>
      </c>
      <c r="Y14" s="3">
        <f t="shared" si="2"/>
        <v>0.92144270855265931</v>
      </c>
    </row>
    <row r="15" spans="2:37" ht="26.25" x14ac:dyDescent="0.25">
      <c r="C15" s="2" t="s">
        <v>5</v>
      </c>
      <c r="D15" s="3">
        <f t="shared" ref="D15:I15" ca="1" si="3">LN(D14)</f>
        <v>-9.6686266203307197E-2</v>
      </c>
      <c r="E15" s="3">
        <f t="shared" si="3"/>
        <v>7.4874385390327938E-2</v>
      </c>
      <c r="F15" s="3">
        <f t="shared" si="3"/>
        <v>8.207502906321977E-2</v>
      </c>
      <c r="G15" s="3">
        <f t="shared" si="3"/>
        <v>0.11563332850041592</v>
      </c>
      <c r="H15" s="3">
        <f t="shared" si="3"/>
        <v>4.4870226888656453E-2</v>
      </c>
      <c r="I15" s="3">
        <f t="shared" si="3"/>
        <v>6.1190383730267812E-2</v>
      </c>
      <c r="K15" s="2" t="s">
        <v>5</v>
      </c>
      <c r="L15" s="3">
        <f t="shared" ref="L15:Q15" ca="1" si="4">LN(L14)</f>
        <v>0.1814828493079135</v>
      </c>
      <c r="M15" s="3">
        <f t="shared" si="4"/>
        <v>3.01356106171892E-3</v>
      </c>
      <c r="N15" s="3">
        <f t="shared" si="4"/>
        <v>1.2119857873820283E-2</v>
      </c>
      <c r="O15" s="3">
        <f t="shared" si="4"/>
        <v>5.7974181374609447E-2</v>
      </c>
      <c r="P15" s="3">
        <f t="shared" si="4"/>
        <v>-2.1817711084303987E-2</v>
      </c>
      <c r="Q15" s="3">
        <f t="shared" si="4"/>
        <v>3.0365676405233449E-3</v>
      </c>
      <c r="S15" s="2" t="s">
        <v>5</v>
      </c>
      <c r="T15" s="3">
        <f t="shared" ref="T15:Y15" ca="1" si="5">LN(T14)</f>
        <v>-0.11884710256530587</v>
      </c>
      <c r="U15" s="3">
        <f t="shared" si="5"/>
        <v>-6.3373346924869289E-2</v>
      </c>
      <c r="V15" s="3">
        <f t="shared" si="5"/>
        <v>-3.1613593670335088E-2</v>
      </c>
      <c r="W15" s="3">
        <f t="shared" si="5"/>
        <v>-0.12663511703047658</v>
      </c>
      <c r="X15" s="3">
        <f t="shared" si="5"/>
        <v>-0.1243372968258246</v>
      </c>
      <c r="Y15" s="3">
        <f t="shared" si="5"/>
        <v>-8.1814675750039728E-2</v>
      </c>
    </row>
    <row r="16" spans="2:37" x14ac:dyDescent="0.25">
      <c r="C16" s="4" t="s">
        <v>6</v>
      </c>
      <c r="D16" s="3">
        <v>1</v>
      </c>
      <c r="E16" s="23">
        <f>((I7/SUM($I7:$M7))+(I8/SUM($I8:$M8)))/2</f>
        <v>0.34878927392025116</v>
      </c>
      <c r="F16" s="23">
        <f>((J7/SUM($I7:$M7))+(J8/SUM($I8:$M8)))/2</f>
        <v>0.24038878000847247</v>
      </c>
      <c r="G16" s="23">
        <f>((K7/SUM($I7:$M7))+(K8/SUM($I8:$M8)))/2</f>
        <v>9.7716060983705638E-2</v>
      </c>
      <c r="H16" s="23">
        <f>((L7/SUM($I7:$M7))+(L8/SUM($I8:$M8)))/2</f>
        <v>0.11624162685985051</v>
      </c>
      <c r="I16" s="23">
        <f>((M7/SUM($I7:$M7))+(M8/SUM($I8:$M8)))/2</f>
        <v>0.19686425822772025</v>
      </c>
      <c r="K16" s="4" t="s">
        <v>6</v>
      </c>
      <c r="L16" s="3">
        <v>1</v>
      </c>
      <c r="M16" s="23">
        <f>((I8/SUM($I8:$M8))+(I9/SUM($I9:$M9)))/2</f>
        <v>0.34126740012655044</v>
      </c>
      <c r="N16" s="23">
        <f t="shared" ref="N16:Q16" si="6">((J8/SUM($I8:$M8))+(J9/SUM($I9:$M9)))/2</f>
        <v>0.24198022146628317</v>
      </c>
      <c r="O16" s="23">
        <f t="shared" si="6"/>
        <v>0.10014584440679195</v>
      </c>
      <c r="P16" s="23">
        <f t="shared" si="6"/>
        <v>0.11725973656187287</v>
      </c>
      <c r="Q16" s="23">
        <f t="shared" si="6"/>
        <v>0.19934679743850159</v>
      </c>
      <c r="S16" s="4" t="s">
        <v>6</v>
      </c>
      <c r="T16" s="3">
        <v>1</v>
      </c>
      <c r="U16" s="23">
        <f>((I9/SUM($I9:$M9))+(I10/SUM($I10:$M10)))/2</f>
        <v>0.33700361687945446</v>
      </c>
      <c r="V16" s="23">
        <f>((J9/SUM($I9:$M9))+(J10/SUM($I10:$M10)))/2</f>
        <v>0.24375829571526408</v>
      </c>
      <c r="W16" s="23">
        <f>((K9/SUM($I9:$M9))+(K10/SUM($I10:$M10)))/2</f>
        <v>9.9319816882033854E-2</v>
      </c>
      <c r="X16" s="23">
        <f>((L9/SUM($I9:$M9))+(L10/SUM($I10:$M10)))/2</f>
        <v>0.1175422533272491</v>
      </c>
      <c r="Y16" s="23">
        <f>((M9/SUM($I9:$M9))+(M10/SUM($I10:$M10)))/2</f>
        <v>0.20237601719599851</v>
      </c>
    </row>
    <row r="17" spans="2:25" x14ac:dyDescent="0.25">
      <c r="C17" s="4" t="s">
        <v>7</v>
      </c>
      <c r="D17" s="76">
        <f ca="1">EXP(E15*E16+F15*F16+H15*H16+I15*I16+G15*G16-D15)-1</f>
        <v>0.18660084371611418</v>
      </c>
      <c r="E17" s="76"/>
      <c r="F17" s="76"/>
      <c r="G17" s="76"/>
      <c r="H17" s="76"/>
      <c r="I17" s="76"/>
      <c r="K17" s="4" t="s">
        <v>7</v>
      </c>
      <c r="L17" s="76">
        <f ca="1">EXP(M15*M16+N15*N16+P15*P16+Q15*Q16+O15*O16-L15)-1</f>
        <v>-0.15942474061888035</v>
      </c>
      <c r="M17" s="76"/>
      <c r="N17" s="76"/>
      <c r="O17" s="76"/>
      <c r="P17" s="76"/>
      <c r="Q17" s="76"/>
      <c r="S17" s="4" t="s">
        <v>7</v>
      </c>
      <c r="T17" s="76">
        <f ca="1">EXP(U15*U16+V15*V16+X15*X16+Y15*Y16+W15*W16-T15)-1</f>
        <v>4.7110419230618428E-2</v>
      </c>
      <c r="U17" s="76"/>
      <c r="V17" s="76"/>
      <c r="W17" s="76"/>
      <c r="X17" s="76"/>
      <c r="Y17" s="76"/>
    </row>
    <row r="19" spans="2:25" ht="27.75" customHeight="1" x14ac:dyDescent="0.25">
      <c r="D19" s="114" t="s">
        <v>34</v>
      </c>
      <c r="E19" s="114"/>
      <c r="F19" s="114"/>
    </row>
    <row r="20" spans="2:25" x14ac:dyDescent="0.25">
      <c r="D20" s="111" t="s">
        <v>22</v>
      </c>
      <c r="E20" s="112"/>
      <c r="F20" s="34">
        <f ca="1">D17</f>
        <v>0.18660084371611418</v>
      </c>
    </row>
    <row r="21" spans="2:25" x14ac:dyDescent="0.25">
      <c r="D21" s="111" t="s">
        <v>23</v>
      </c>
      <c r="E21" s="112" t="s">
        <v>20</v>
      </c>
      <c r="F21" s="34">
        <f ca="1">L17</f>
        <v>-0.15942474061888035</v>
      </c>
    </row>
    <row r="22" spans="2:25" x14ac:dyDescent="0.25">
      <c r="D22" s="111" t="s">
        <v>24</v>
      </c>
      <c r="E22" s="112" t="s">
        <v>21</v>
      </c>
      <c r="F22" s="34">
        <f ca="1">T17</f>
        <v>4.7110419230618428E-2</v>
      </c>
    </row>
    <row r="23" spans="2:25" x14ac:dyDescent="0.25">
      <c r="D23" s="113" t="s">
        <v>35</v>
      </c>
      <c r="E23" s="113"/>
      <c r="F23" s="32">
        <f t="array" aca="1" ref="F23" ca="1">PRODUCT(1+F20:F22)^(1/COUNT(F20:F22))-1</f>
        <v>1.4591561035159462E-2</v>
      </c>
      <c r="H23" s="33"/>
      <c r="I23" s="33"/>
      <c r="K23" s="33"/>
      <c r="L23" s="33"/>
    </row>
    <row r="24" spans="2:25" x14ac:dyDescent="0.25">
      <c r="D24" s="113" t="s">
        <v>36</v>
      </c>
      <c r="E24" s="113"/>
      <c r="F24" s="32">
        <f ca="1">F23/2</f>
        <v>7.2957805175797308E-3</v>
      </c>
    </row>
    <row r="25" spans="2:25" ht="15.75" thickBot="1" x14ac:dyDescent="0.3"/>
    <row r="26" spans="2:25" x14ac:dyDescent="0.25">
      <c r="B26" s="95" t="s">
        <v>13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2:25" ht="15.75" thickBot="1" x14ac:dyDescent="0.3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</row>
    <row r="28" spans="2:25" x14ac:dyDescent="0.25">
      <c r="B28" s="109" t="s">
        <v>8</v>
      </c>
      <c r="C28" s="110" t="s">
        <v>0</v>
      </c>
      <c r="D28" s="86" t="s">
        <v>9</v>
      </c>
      <c r="E28" s="87"/>
      <c r="F28" s="87"/>
      <c r="G28" s="87"/>
      <c r="H28" s="88"/>
      <c r="I28" s="86" t="s">
        <v>10</v>
      </c>
      <c r="J28" s="87"/>
      <c r="K28" s="87"/>
      <c r="L28" s="87"/>
      <c r="M28" s="89"/>
    </row>
    <row r="29" spans="2:25" x14ac:dyDescent="0.25">
      <c r="B29" s="102"/>
      <c r="C29" s="104" t="s">
        <v>11</v>
      </c>
      <c r="D29" s="90" t="s">
        <v>1</v>
      </c>
      <c r="E29" s="91"/>
      <c r="F29" s="92"/>
      <c r="G29" s="93" t="s">
        <v>2</v>
      </c>
      <c r="H29" s="93"/>
      <c r="I29" s="90" t="s">
        <v>1</v>
      </c>
      <c r="J29" s="91"/>
      <c r="K29" s="92"/>
      <c r="L29" s="93" t="s">
        <v>2</v>
      </c>
      <c r="M29" s="94"/>
    </row>
    <row r="30" spans="2:25" x14ac:dyDescent="0.25">
      <c r="B30" s="102"/>
      <c r="C30" s="104"/>
      <c r="D30" s="5" t="s">
        <v>3</v>
      </c>
      <c r="E30" s="5" t="s">
        <v>4</v>
      </c>
      <c r="F30" s="5" t="s">
        <v>12</v>
      </c>
      <c r="G30" s="5" t="s">
        <v>3</v>
      </c>
      <c r="H30" s="5" t="s">
        <v>4</v>
      </c>
      <c r="I30" s="5" t="s">
        <v>3</v>
      </c>
      <c r="J30" s="5" t="s">
        <v>4</v>
      </c>
      <c r="K30" s="6" t="s">
        <v>12</v>
      </c>
      <c r="L30" s="5" t="s">
        <v>3</v>
      </c>
      <c r="M30" s="7" t="s">
        <v>4</v>
      </c>
    </row>
    <row r="31" spans="2:25" x14ac:dyDescent="0.25">
      <c r="B31" s="8">
        <v>2013</v>
      </c>
      <c r="C31" s="15">
        <v>172140419.0282014</v>
      </c>
      <c r="D31" s="19">
        <v>8706403</v>
      </c>
      <c r="E31" s="19">
        <v>505328</v>
      </c>
      <c r="F31" s="19">
        <v>7268945</v>
      </c>
      <c r="G31" s="19">
        <v>178281</v>
      </c>
      <c r="H31" s="19">
        <v>4412</v>
      </c>
      <c r="I31" s="15">
        <v>72487219.169999987</v>
      </c>
      <c r="J31" s="15">
        <v>7735740.669999999</v>
      </c>
      <c r="K31" s="15">
        <v>27847733.66</v>
      </c>
      <c r="L31" s="15">
        <v>28601328.000000004</v>
      </c>
      <c r="M31" s="17">
        <v>4793276.6899999995</v>
      </c>
    </row>
    <row r="32" spans="2:25" x14ac:dyDescent="0.25">
      <c r="B32" s="25">
        <v>2014</v>
      </c>
      <c r="C32" s="15">
        <v>172775022.23343295</v>
      </c>
      <c r="D32" s="19">
        <v>9378564</v>
      </c>
      <c r="E32" s="19">
        <v>610089</v>
      </c>
      <c r="F32" s="19">
        <v>8157563</v>
      </c>
      <c r="G32" s="19">
        <v>181603</v>
      </c>
      <c r="H32" s="19">
        <v>5239</v>
      </c>
      <c r="I32" s="15">
        <v>80223973.680000007</v>
      </c>
      <c r="J32" s="15">
        <v>9870006.9499999993</v>
      </c>
      <c r="K32" s="15">
        <v>32245894.359999999</v>
      </c>
      <c r="L32" s="15">
        <v>32487839.090000086</v>
      </c>
      <c r="M32" s="17">
        <v>5679042.6499999966</v>
      </c>
    </row>
    <row r="33" spans="2:13" x14ac:dyDescent="0.25">
      <c r="B33" s="25">
        <v>2015</v>
      </c>
      <c r="C33" s="15">
        <v>180836414.62187356</v>
      </c>
      <c r="D33" s="19">
        <v>9816912</v>
      </c>
      <c r="E33" s="19">
        <v>711756</v>
      </c>
      <c r="F33" s="19">
        <v>9293128</v>
      </c>
      <c r="G33" s="19">
        <v>183952</v>
      </c>
      <c r="H33" s="19">
        <v>5443</v>
      </c>
      <c r="I33" s="15">
        <v>87646064.359999999</v>
      </c>
      <c r="J33" s="15">
        <v>11708332.660000002</v>
      </c>
      <c r="K33" s="15">
        <v>38490535.649999999</v>
      </c>
      <c r="L33" s="15">
        <v>36841678.280000001</v>
      </c>
      <c r="M33" s="17">
        <v>6633583.6500000004</v>
      </c>
    </row>
    <row r="34" spans="2:13" ht="15.75" thickBot="1" x14ac:dyDescent="0.3">
      <c r="B34" s="9">
        <v>2016</v>
      </c>
      <c r="C34" s="16">
        <v>158221606.88738224</v>
      </c>
      <c r="D34" s="20">
        <v>9415426</v>
      </c>
      <c r="E34" s="20">
        <v>618940</v>
      </c>
      <c r="F34" s="20">
        <v>7912787</v>
      </c>
      <c r="G34" s="20">
        <v>156685</v>
      </c>
      <c r="H34" s="20">
        <v>4482</v>
      </c>
      <c r="I34" s="16">
        <v>87951975.49000001</v>
      </c>
      <c r="J34" s="16">
        <v>10848961.729999999</v>
      </c>
      <c r="K34" s="16">
        <v>35738474.699999996</v>
      </c>
      <c r="L34" s="21">
        <v>37150976.340000004</v>
      </c>
      <c r="M34" s="22">
        <v>6211824.0699999994</v>
      </c>
    </row>
    <row r="35" spans="2:13" ht="15.75" thickBot="1" x14ac:dyDescent="0.3"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x14ac:dyDescent="0.25">
      <c r="B36" s="95" t="s">
        <v>14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7"/>
    </row>
    <row r="37" spans="2:13" ht="15.75" thickBot="1" x14ac:dyDescent="0.3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00"/>
    </row>
    <row r="38" spans="2:13" x14ac:dyDescent="0.25">
      <c r="B38" s="101" t="s">
        <v>8</v>
      </c>
      <c r="C38" s="103" t="s">
        <v>0</v>
      </c>
      <c r="D38" s="105" t="s">
        <v>9</v>
      </c>
      <c r="E38" s="106"/>
      <c r="F38" s="106"/>
      <c r="G38" s="106"/>
      <c r="H38" s="107"/>
      <c r="I38" s="105" t="s">
        <v>10</v>
      </c>
      <c r="J38" s="106"/>
      <c r="K38" s="106"/>
      <c r="L38" s="106"/>
      <c r="M38" s="108"/>
    </row>
    <row r="39" spans="2:13" x14ac:dyDescent="0.25">
      <c r="B39" s="102"/>
      <c r="C39" s="104" t="s">
        <v>11</v>
      </c>
      <c r="D39" s="90" t="s">
        <v>1</v>
      </c>
      <c r="E39" s="91"/>
      <c r="F39" s="92"/>
      <c r="G39" s="93" t="s">
        <v>2</v>
      </c>
      <c r="H39" s="93"/>
      <c r="I39" s="90" t="s">
        <v>1</v>
      </c>
      <c r="J39" s="91"/>
      <c r="K39" s="92"/>
      <c r="L39" s="93" t="s">
        <v>2</v>
      </c>
      <c r="M39" s="94"/>
    </row>
    <row r="40" spans="2:13" x14ac:dyDescent="0.25">
      <c r="B40" s="102"/>
      <c r="C40" s="104"/>
      <c r="D40" s="5" t="s">
        <v>3</v>
      </c>
      <c r="E40" s="5" t="s">
        <v>4</v>
      </c>
      <c r="F40" s="12" t="s">
        <v>12</v>
      </c>
      <c r="G40" s="5" t="s">
        <v>3</v>
      </c>
      <c r="H40" s="5" t="s">
        <v>4</v>
      </c>
      <c r="I40" s="5" t="s">
        <v>3</v>
      </c>
      <c r="J40" s="5" t="s">
        <v>4</v>
      </c>
      <c r="K40" s="6" t="s">
        <v>12</v>
      </c>
      <c r="L40" s="5" t="s">
        <v>3</v>
      </c>
      <c r="M40" s="7" t="s">
        <v>4</v>
      </c>
    </row>
    <row r="41" spans="2:13" x14ac:dyDescent="0.25">
      <c r="B41" s="8">
        <v>2013</v>
      </c>
      <c r="C41" s="15">
        <v>410358300.09435409</v>
      </c>
      <c r="D41" s="19">
        <v>16176055</v>
      </c>
      <c r="E41" s="19">
        <v>10717154</v>
      </c>
      <c r="F41" s="19">
        <v>9068919</v>
      </c>
      <c r="G41" s="19">
        <v>208107</v>
      </c>
      <c r="H41" s="19">
        <v>76077</v>
      </c>
      <c r="I41" s="15">
        <v>131663812.56999999</v>
      </c>
      <c r="J41" s="15">
        <v>159959641.28999999</v>
      </c>
      <c r="K41" s="15">
        <v>26452050.690000001</v>
      </c>
      <c r="L41" s="15">
        <v>39070613.170000002</v>
      </c>
      <c r="M41" s="17">
        <v>115250696.43999998</v>
      </c>
    </row>
    <row r="42" spans="2:13" x14ac:dyDescent="0.25">
      <c r="B42" s="25">
        <v>2014</v>
      </c>
      <c r="C42" s="15">
        <v>334795408.19345379</v>
      </c>
      <c r="D42" s="19">
        <v>17792517</v>
      </c>
      <c r="E42" s="19">
        <v>11526560</v>
      </c>
      <c r="F42" s="19">
        <v>10218171</v>
      </c>
      <c r="G42" s="19">
        <v>223512</v>
      </c>
      <c r="H42" s="19">
        <v>81047</v>
      </c>
      <c r="I42" s="15">
        <v>164119278.18000001</v>
      </c>
      <c r="J42" s="15">
        <v>192151109.14000002</v>
      </c>
      <c r="K42" s="15">
        <v>32657834.550000004</v>
      </c>
      <c r="L42" s="15">
        <v>45939990.919999987</v>
      </c>
      <c r="M42" s="17">
        <v>140752177.36999997</v>
      </c>
    </row>
    <row r="43" spans="2:13" x14ac:dyDescent="0.25">
      <c r="B43" s="25">
        <v>2015</v>
      </c>
      <c r="C43" s="15">
        <v>443655925.99025178</v>
      </c>
      <c r="D43" s="19">
        <v>17598350</v>
      </c>
      <c r="E43" s="19">
        <v>11097671</v>
      </c>
      <c r="F43" s="19">
        <v>10287927</v>
      </c>
      <c r="G43" s="19">
        <v>216019</v>
      </c>
      <c r="H43" s="19">
        <v>79011</v>
      </c>
      <c r="I43" s="15">
        <v>164861240.13526973</v>
      </c>
      <c r="J43" s="15">
        <v>193019799.3647303</v>
      </c>
      <c r="K43" s="15">
        <v>34326284.520000003</v>
      </c>
      <c r="L43" s="15">
        <v>48894984.694864571</v>
      </c>
      <c r="M43" s="17">
        <v>151290095.27513543</v>
      </c>
    </row>
    <row r="44" spans="2:13" ht="15.75" thickBot="1" x14ac:dyDescent="0.3">
      <c r="B44" s="9">
        <v>2016</v>
      </c>
      <c r="C44" s="16">
        <v>370557420.47862887</v>
      </c>
      <c r="D44" s="20">
        <v>16798067</v>
      </c>
      <c r="E44" s="20">
        <v>10918202</v>
      </c>
      <c r="F44" s="20">
        <v>8890150</v>
      </c>
      <c r="G44" s="20">
        <v>192921</v>
      </c>
      <c r="H44" s="20">
        <v>74567</v>
      </c>
      <c r="I44" s="16">
        <v>175657509.09681872</v>
      </c>
      <c r="J44" s="16">
        <v>205660088.05318129</v>
      </c>
      <c r="K44" s="16">
        <v>32311628.220000006</v>
      </c>
      <c r="L44" s="16">
        <v>50185017.913101412</v>
      </c>
      <c r="M44" s="18">
        <v>158157466.88689858</v>
      </c>
    </row>
    <row r="45" spans="2:13" ht="15.75" thickBot="1" x14ac:dyDescent="0.3"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x14ac:dyDescent="0.25">
      <c r="B46" s="95" t="s">
        <v>15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</row>
    <row r="47" spans="2:13" ht="15.75" thickBot="1" x14ac:dyDescent="0.3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100"/>
    </row>
    <row r="48" spans="2:13" x14ac:dyDescent="0.25">
      <c r="B48" s="101" t="s">
        <v>8</v>
      </c>
      <c r="C48" s="103" t="s">
        <v>0</v>
      </c>
      <c r="D48" s="105" t="s">
        <v>9</v>
      </c>
      <c r="E48" s="106"/>
      <c r="F48" s="106"/>
      <c r="G48" s="106"/>
      <c r="H48" s="107"/>
      <c r="I48" s="105" t="s">
        <v>10</v>
      </c>
      <c r="J48" s="106"/>
      <c r="K48" s="106"/>
      <c r="L48" s="106"/>
      <c r="M48" s="108"/>
    </row>
    <row r="49" spans="2:13" x14ac:dyDescent="0.25">
      <c r="B49" s="102"/>
      <c r="C49" s="104" t="s">
        <v>11</v>
      </c>
      <c r="D49" s="90" t="s">
        <v>1</v>
      </c>
      <c r="E49" s="91"/>
      <c r="F49" s="92"/>
      <c r="G49" s="93" t="s">
        <v>2</v>
      </c>
      <c r="H49" s="93"/>
      <c r="I49" s="90" t="s">
        <v>1</v>
      </c>
      <c r="J49" s="91"/>
      <c r="K49" s="92"/>
      <c r="L49" s="93" t="s">
        <v>2</v>
      </c>
      <c r="M49" s="94"/>
    </row>
    <row r="50" spans="2:13" x14ac:dyDescent="0.25">
      <c r="B50" s="102"/>
      <c r="C50" s="104"/>
      <c r="D50" s="5" t="s">
        <v>3</v>
      </c>
      <c r="E50" s="5" t="s">
        <v>4</v>
      </c>
      <c r="F50" s="12" t="s">
        <v>12</v>
      </c>
      <c r="G50" s="5" t="s">
        <v>3</v>
      </c>
      <c r="H50" s="5" t="s">
        <v>4</v>
      </c>
      <c r="I50" s="5" t="s">
        <v>3</v>
      </c>
      <c r="J50" s="5" t="s">
        <v>4</v>
      </c>
      <c r="K50" s="6" t="s">
        <v>12</v>
      </c>
      <c r="L50" s="5" t="s">
        <v>3</v>
      </c>
      <c r="M50" s="7" t="s">
        <v>4</v>
      </c>
    </row>
    <row r="51" spans="2:13" x14ac:dyDescent="0.25">
      <c r="B51" s="8">
        <v>2013</v>
      </c>
      <c r="C51" s="15">
        <v>110914239.39000659</v>
      </c>
      <c r="D51" s="19">
        <v>5398899</v>
      </c>
      <c r="E51" s="19">
        <v>48759</v>
      </c>
      <c r="F51" s="19">
        <v>3846976</v>
      </c>
      <c r="G51" s="19">
        <v>118666</v>
      </c>
      <c r="H51" s="19">
        <v>8590</v>
      </c>
      <c r="I51" s="15">
        <v>44314587.370000005</v>
      </c>
      <c r="J51" s="15">
        <v>766927.18</v>
      </c>
      <c r="K51" s="15">
        <v>14684635.600000001</v>
      </c>
      <c r="L51" s="15">
        <v>14785943.970000001</v>
      </c>
      <c r="M51" s="17">
        <v>19134212.759999998</v>
      </c>
    </row>
    <row r="52" spans="2:13" x14ac:dyDescent="0.25">
      <c r="B52" s="25">
        <v>2014</v>
      </c>
      <c r="C52" s="15">
        <v>121938131.93547481</v>
      </c>
      <c r="D52" s="19">
        <v>5464614</v>
      </c>
      <c r="E52" s="19">
        <v>98703</v>
      </c>
      <c r="F52" s="19">
        <v>4283448</v>
      </c>
      <c r="G52" s="19">
        <v>123117</v>
      </c>
      <c r="H52" s="19">
        <v>8414</v>
      </c>
      <c r="I52" s="15">
        <v>46788413.489999995</v>
      </c>
      <c r="J52" s="15">
        <v>1934497.77</v>
      </c>
      <c r="K52" s="15">
        <v>17401676.84</v>
      </c>
      <c r="L52" s="15">
        <v>19012319.219999999</v>
      </c>
      <c r="M52" s="17">
        <v>19150326.009999998</v>
      </c>
    </row>
    <row r="53" spans="2:13" x14ac:dyDescent="0.25">
      <c r="B53" s="25">
        <v>2015</v>
      </c>
      <c r="C53" s="15">
        <v>130284631.58512732</v>
      </c>
      <c r="D53" s="19">
        <v>5318931</v>
      </c>
      <c r="E53" s="19">
        <v>575118</v>
      </c>
      <c r="F53" s="19">
        <v>4430600</v>
      </c>
      <c r="G53" s="19">
        <v>116861</v>
      </c>
      <c r="H53" s="19">
        <v>10534</v>
      </c>
      <c r="I53" s="15">
        <v>47039425.930000007</v>
      </c>
      <c r="J53" s="15">
        <v>10294224.27</v>
      </c>
      <c r="K53" s="15">
        <v>18402931.300000001</v>
      </c>
      <c r="L53" s="15">
        <v>19937384.229999997</v>
      </c>
      <c r="M53" s="17">
        <v>21802288.27</v>
      </c>
    </row>
    <row r="54" spans="2:13" ht="15.75" thickBot="1" x14ac:dyDescent="0.3">
      <c r="B54" s="9">
        <v>2016</v>
      </c>
      <c r="C54" s="16">
        <v>141420320.31375384</v>
      </c>
      <c r="D54" s="20">
        <v>4510591</v>
      </c>
      <c r="E54" s="20">
        <v>462007</v>
      </c>
      <c r="F54" s="20">
        <v>4352654</v>
      </c>
      <c r="G54" s="20">
        <v>106799</v>
      </c>
      <c r="H54" s="20">
        <v>8477</v>
      </c>
      <c r="I54" s="16">
        <v>44139614.75</v>
      </c>
      <c r="J54" s="16">
        <v>7768282.4400000004</v>
      </c>
      <c r="K54" s="16">
        <v>19644276.420000002</v>
      </c>
      <c r="L54" s="16">
        <v>18780108.700000003</v>
      </c>
      <c r="M54" s="18">
        <v>20598966.91</v>
      </c>
    </row>
    <row r="55" spans="2:13" x14ac:dyDescent="0.25">
      <c r="D55" s="14"/>
      <c r="E55" s="14"/>
      <c r="F55" s="14"/>
      <c r="G55" s="14"/>
      <c r="H55" s="14"/>
      <c r="I55" s="14"/>
      <c r="J55" s="14"/>
      <c r="K55" s="14"/>
      <c r="L55" s="14"/>
      <c r="M55" s="14"/>
    </row>
  </sheetData>
  <mergeCells count="57">
    <mergeCell ref="I28:M28"/>
    <mergeCell ref="B4:B6"/>
    <mergeCell ref="C4:C6"/>
    <mergeCell ref="B28:B30"/>
    <mergeCell ref="C28:C30"/>
    <mergeCell ref="C12:C13"/>
    <mergeCell ref="D12:D13"/>
    <mergeCell ref="H12:I12"/>
    <mergeCell ref="D20:E20"/>
    <mergeCell ref="D21:E21"/>
    <mergeCell ref="D22:E22"/>
    <mergeCell ref="D23:E23"/>
    <mergeCell ref="D19:F19"/>
    <mergeCell ref="D24:E24"/>
    <mergeCell ref="D39:F39"/>
    <mergeCell ref="G39:H39"/>
    <mergeCell ref="I39:K39"/>
    <mergeCell ref="L39:M39"/>
    <mergeCell ref="D17:I17"/>
    <mergeCell ref="D29:F29"/>
    <mergeCell ref="I29:K29"/>
    <mergeCell ref="B26:M27"/>
    <mergeCell ref="B36:M37"/>
    <mergeCell ref="B38:B40"/>
    <mergeCell ref="C38:C40"/>
    <mergeCell ref="D38:H38"/>
    <mergeCell ref="I38:M38"/>
    <mergeCell ref="G29:H29"/>
    <mergeCell ref="L29:M29"/>
    <mergeCell ref="D28:H28"/>
    <mergeCell ref="G49:H49"/>
    <mergeCell ref="I49:K49"/>
    <mergeCell ref="L49:M49"/>
    <mergeCell ref="B46:M47"/>
    <mergeCell ref="B48:B50"/>
    <mergeCell ref="C48:C50"/>
    <mergeCell ref="D48:H48"/>
    <mergeCell ref="I48:M48"/>
    <mergeCell ref="D49:F49"/>
    <mergeCell ref="B2:M3"/>
    <mergeCell ref="E12:G12"/>
    <mergeCell ref="D4:H4"/>
    <mergeCell ref="I4:M4"/>
    <mergeCell ref="D5:F5"/>
    <mergeCell ref="G5:H5"/>
    <mergeCell ref="I5:K5"/>
    <mergeCell ref="L5:M5"/>
    <mergeCell ref="M12:O12"/>
    <mergeCell ref="K12:K13"/>
    <mergeCell ref="L12:L13"/>
    <mergeCell ref="X12:Y12"/>
    <mergeCell ref="T17:Y17"/>
    <mergeCell ref="P12:Q12"/>
    <mergeCell ref="L17:Q17"/>
    <mergeCell ref="S12:S13"/>
    <mergeCell ref="T12:T13"/>
    <mergeCell ref="U12:W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326FB3-EB3D-46E3-B165-69F370202E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IPCA</vt:lpstr>
      <vt:lpstr>Alocação de Custos - BSB</vt:lpstr>
      <vt:lpstr>Alocação de Custos - GRU</vt:lpstr>
      <vt:lpstr>Alocação de Custos - VCP</vt:lpstr>
      <vt:lpstr>Calculo Fator 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Alves Machado</dc:creator>
  <cp:lastModifiedBy>Luis Claudio da Silveira Galvao</cp:lastModifiedBy>
  <dcterms:created xsi:type="dcterms:W3CDTF">2017-03-27T14:13:18Z</dcterms:created>
  <dcterms:modified xsi:type="dcterms:W3CDTF">2017-09-13T19:37:00Z</dcterms:modified>
</cp:coreProperties>
</file>