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User\Downloads\"/>
    </mc:Choice>
  </mc:AlternateContent>
  <xr:revisionPtr revIDLastSave="0" documentId="13_ncr:1_{AD6E0461-2270-4F04-91FB-C4E61E1D6C2C}" xr6:coauthVersionLast="47" xr6:coauthVersionMax="47" xr10:uidLastSave="{00000000-0000-0000-0000-000000000000}"/>
  <bookViews>
    <workbookView xWindow="-120" yWindow="-120" windowWidth="20730" windowHeight="11400" firstSheet="1" activeTab="1" xr2:uid="{346C807B-C22C-48DC-A4CE-3559AD9E3B32}"/>
  </bookViews>
  <sheets>
    <sheet name="Metodologia de Priorização" sheetId="3" state="hidden" r:id="rId1"/>
    <sheet name="PAI 2025" sheetId="1" r:id="rId2"/>
    <sheet name="Orçamento por UDVD" sheetId="12" r:id="rId3"/>
    <sheet name="Resumo" sheetId="5" r:id="rId4"/>
    <sheet name="Assembleia" sheetId="9" state="hidden" r:id="rId5"/>
    <sheet name="RAAC" sheetId="13" state="hidden" r:id="rId6"/>
    <sheet name="Histórico PAI Rev" sheetId="11" state="hidden" r:id="rId7"/>
    <sheet name="Valores Díárias" sheetId="8" state="hidden" r:id="rId8"/>
    <sheet name="Pontos Focais" sheetId="6" state="hidden" r:id="rId9"/>
    <sheet name="Código" sheetId="14" r:id="rId10"/>
  </sheets>
  <definedNames>
    <definedName name="_xlnm._FilterDatabase" localSheetId="1" hidden="1">'PAI 2025'!$S$513:$S$513</definedName>
    <definedName name="_xlnm._FilterDatabase" localSheetId="7" hidden="1">'Valores Díárias'!$A$2:$G$2</definedName>
    <definedName name="Abrangência" localSheetId="9">#REF!</definedName>
    <definedName name="Abrangência" localSheetId="6">#REF!</definedName>
    <definedName name="Abrangência" localSheetId="0">#REF!</definedName>
    <definedName name="Abrangência" localSheetId="2">#REF!</definedName>
    <definedName name="Abrangência" localSheetId="3">#REF!</definedName>
    <definedName name="Abrangência">#REF!</definedName>
    <definedName name="AM_Cidade" localSheetId="9">#REF!</definedName>
    <definedName name="AM_Cidade" localSheetId="6">#REF!</definedName>
    <definedName name="AM_Cidade" localSheetId="0">#REF!</definedName>
    <definedName name="AM_Cidade" localSheetId="2">#REF!</definedName>
    <definedName name="AM_Cidade" localSheetId="3">#REF!</definedName>
    <definedName name="AM_Cidade">#REF!</definedName>
    <definedName name="AM_Fim" localSheetId="9">#REF!</definedName>
    <definedName name="AM_Fim" localSheetId="6">#REF!</definedName>
    <definedName name="AM_Fim" localSheetId="0">#REF!</definedName>
    <definedName name="AM_Fim" localSheetId="2">#REF!</definedName>
    <definedName name="AM_Fim" localSheetId="3">#REF!</definedName>
    <definedName name="AM_Fim">#REF!</definedName>
    <definedName name="AM_Inicio" localSheetId="9">#REF!</definedName>
    <definedName name="AM_Inicio" localSheetId="6">#REF!</definedName>
    <definedName name="AM_Inicio" localSheetId="0">#REF!</definedName>
    <definedName name="AM_Inicio" localSheetId="2">#REF!</definedName>
    <definedName name="AM_Inicio" localSheetId="3">#REF!</definedName>
    <definedName name="AM_Inicio">#REF!</definedName>
    <definedName name="AM_Nome" localSheetId="9">#REF!</definedName>
    <definedName name="AM_Nome" localSheetId="6">#REF!</definedName>
    <definedName name="AM_Nome" localSheetId="0">#REF!</definedName>
    <definedName name="AM_Nome" localSheetId="2">#REF!</definedName>
    <definedName name="AM_Nome" localSheetId="3">#REF!</definedName>
    <definedName name="AM_Nome">#REF!</definedName>
    <definedName name="AM_Pais" localSheetId="9">#REF!</definedName>
    <definedName name="AM_Pais" localSheetId="6">#REF!</definedName>
    <definedName name="AM_Pais" localSheetId="0">#REF!</definedName>
    <definedName name="AM_Pais" localSheetId="2">#REF!</definedName>
    <definedName name="AM_Pais" localSheetId="3">#REF!</definedName>
    <definedName name="AM_Pais">#REF!</definedName>
    <definedName name="AM_UORG1" localSheetId="9">#REF!</definedName>
    <definedName name="AM_UORG1" localSheetId="6">#REF!</definedName>
    <definedName name="AM_UORG1" localSheetId="0">#REF!</definedName>
    <definedName name="AM_UORG1" localSheetId="2">#REF!</definedName>
    <definedName name="AM_UORG1" localSheetId="3">#REF!</definedName>
    <definedName name="AM_UORG1">#REF!</definedName>
    <definedName name="AM_UORG2" localSheetId="9">#REF!</definedName>
    <definedName name="AM_UORG2" localSheetId="6">#REF!</definedName>
    <definedName name="AM_UORG2" localSheetId="0">#REF!</definedName>
    <definedName name="AM_UORG2" localSheetId="2">#REF!</definedName>
    <definedName name="AM_UORG2" localSheetId="3">#REF!</definedName>
    <definedName name="AM_UORG2">#REF!</definedName>
    <definedName name="AM_UORG3" localSheetId="9">#REF!</definedName>
    <definedName name="AM_UORG3" localSheetId="6">#REF!</definedName>
    <definedName name="AM_UORG3" localSheetId="0">#REF!</definedName>
    <definedName name="AM_UORG3" localSheetId="2">#REF!</definedName>
    <definedName name="AM_UORG3" localSheetId="3">#REF!</definedName>
    <definedName name="AM_UORG3">#REF!</definedName>
    <definedName name="AM_UORG4" localSheetId="9">#REF!</definedName>
    <definedName name="AM_UORG4" localSheetId="6">#REF!</definedName>
    <definedName name="AM_UORG4" localSheetId="0">#REF!</definedName>
    <definedName name="AM_UORG4" localSheetId="2">#REF!</definedName>
    <definedName name="AM_UORG4" localSheetId="3">#REF!</definedName>
    <definedName name="AM_UORG4">#REF!</definedName>
    <definedName name="AM_UORG5" localSheetId="9">#REF!</definedName>
    <definedName name="AM_UORG5" localSheetId="6">#REF!</definedName>
    <definedName name="AM_UORG5" localSheetId="0">#REF!</definedName>
    <definedName name="AM_UORG5" localSheetId="2">#REF!</definedName>
    <definedName name="AM_UORG5" localSheetId="3">#REF!</definedName>
    <definedName name="AM_UORG5">#REF!</definedName>
    <definedName name="Certificação_e_Outorga" localSheetId="9">#REF!</definedName>
    <definedName name="Certificação_e_Outorga" localSheetId="6">#REF!</definedName>
    <definedName name="Certificação_e_Outorga" localSheetId="0">#REF!</definedName>
    <definedName name="Certificação_e_Outorga" localSheetId="2">#REF!</definedName>
    <definedName name="Certificação_e_Outorga" localSheetId="3">#REF!</definedName>
    <definedName name="Certificação_e_Outorga">#REF!</definedName>
    <definedName name="Certificação_e_Outorga2" localSheetId="9">#REF!</definedName>
    <definedName name="Certificação_e_Outorga2" localSheetId="6">#REF!</definedName>
    <definedName name="Certificação_e_Outorga2" localSheetId="0">#REF!</definedName>
    <definedName name="Certificação_e_Outorga2" localSheetId="2">#REF!</definedName>
    <definedName name="Certificação_e_Outorga2" localSheetId="3">#REF!</definedName>
    <definedName name="Certificação_e_Outorga2">#REF!</definedName>
    <definedName name="COMUNICAÇÃO" localSheetId="9">#REF!</definedName>
    <definedName name="COMUNICAÇÃO" localSheetId="6">#REF!</definedName>
    <definedName name="COMUNICAÇÃO" localSheetId="0">#REF!</definedName>
    <definedName name="COMUNICAÇÃO" localSheetId="2">#REF!</definedName>
    <definedName name="COMUNICAÇÃO" localSheetId="3">#REF!</definedName>
    <definedName name="COMUNICAÇÃO">#REF!</definedName>
    <definedName name="Contratação_GP" localSheetId="9">#REF!</definedName>
    <definedName name="Contratação_GP" localSheetId="6">#REF!</definedName>
    <definedName name="Contratação_GP" localSheetId="0">#REF!</definedName>
    <definedName name="Contratação_GP" localSheetId="2">#REF!</definedName>
    <definedName name="Contratação_GP" localSheetId="3">#REF!</definedName>
    <definedName name="Contratação_GP">#REF!</definedName>
    <definedName name="Contratação_TI" localSheetId="9">#REF!</definedName>
    <definedName name="Contratação_TI" localSheetId="6">#REF!</definedName>
    <definedName name="Contratação_TI" localSheetId="0">#REF!</definedName>
    <definedName name="Contratação_TI" localSheetId="2">#REF!</definedName>
    <definedName name="Contratação_TI" localSheetId="3">#REF!</definedName>
    <definedName name="Contratação_TI">#REF!</definedName>
    <definedName name="Contratação_TI2" localSheetId="9">#REF!</definedName>
    <definedName name="Contratação_TI2" localSheetId="6">#REF!</definedName>
    <definedName name="Contratação_TI2" localSheetId="0">#REF!</definedName>
    <definedName name="Contratação_TI2" localSheetId="2">#REF!</definedName>
    <definedName name="Contratação_TI2" localSheetId="3">#REF!</definedName>
    <definedName name="Contratação_TI2">#REF!</definedName>
    <definedName name="Desenvolvimento" localSheetId="9">#REF!</definedName>
    <definedName name="Desenvolvimento" localSheetId="6">#REF!</definedName>
    <definedName name="Desenvolvimento" localSheetId="0">#REF!</definedName>
    <definedName name="Desenvolvimento" localSheetId="2">#REF!</definedName>
    <definedName name="Desenvolvimento" localSheetId="3">#REF!</definedName>
    <definedName name="Desenvolvimento">#REF!</definedName>
    <definedName name="Desenvolvimento2" localSheetId="9">#REF!</definedName>
    <definedName name="Desenvolvimento2" localSheetId="6">#REF!</definedName>
    <definedName name="Desenvolvimento2" localSheetId="0">#REF!</definedName>
    <definedName name="Desenvolvimento2" localSheetId="2">#REF!</definedName>
    <definedName name="Desenvolvimento2" localSheetId="3">#REF!</definedName>
    <definedName name="Desenvolvimento2">#REF!</definedName>
    <definedName name="Diretrizes_Gerais" localSheetId="9">#REF!</definedName>
    <definedName name="Diretrizes_Gerais" localSheetId="6">#REF!</definedName>
    <definedName name="Diretrizes_Gerais" localSheetId="0">#REF!</definedName>
    <definedName name="Diretrizes_Gerais" localSheetId="2">#REF!</definedName>
    <definedName name="Diretrizes_Gerais" localSheetId="3">#REF!</definedName>
    <definedName name="Diretrizes_Gerais">#REF!</definedName>
    <definedName name="Divulgação_campanhas_emails_entre_outros" localSheetId="9">#REF!</definedName>
    <definedName name="Divulgação_campanhas_emails_entre_outros" localSheetId="6">#REF!</definedName>
    <definedName name="Divulgação_campanhas_emails_entre_outros" localSheetId="0">#REF!</definedName>
    <definedName name="Divulgação_campanhas_emails_entre_outros" localSheetId="2">#REF!</definedName>
    <definedName name="Divulgação_campanhas_emails_entre_outros" localSheetId="3">#REF!</definedName>
    <definedName name="Divulgação_campanhas_emails_entre_outros">#REF!</definedName>
    <definedName name="Estruturante" localSheetId="9">#REF!</definedName>
    <definedName name="Estruturante" localSheetId="6">#REF!</definedName>
    <definedName name="Estruturante" localSheetId="0">#REF!</definedName>
    <definedName name="Estruturante" localSheetId="2">#REF!</definedName>
    <definedName name="Estruturante" localSheetId="3">#REF!</definedName>
    <definedName name="Estruturante">#REF!</definedName>
    <definedName name="Estruturante2" localSheetId="9">#REF!</definedName>
    <definedName name="Estruturante2" localSheetId="6">#REF!</definedName>
    <definedName name="Estruturante2" localSheetId="0">#REF!</definedName>
    <definedName name="Estruturante2" localSheetId="2">#REF!</definedName>
    <definedName name="Estruturante2" localSheetId="3">#REF!</definedName>
    <definedName name="Estruturante2">#REF!</definedName>
    <definedName name="Evento" localSheetId="9">#REF!</definedName>
    <definedName name="Evento" localSheetId="6">#REF!</definedName>
    <definedName name="Evento" localSheetId="0">#REF!</definedName>
    <definedName name="Evento" localSheetId="2">#REF!</definedName>
    <definedName name="Evento" localSheetId="3">#REF!</definedName>
    <definedName name="Evento">#REF!</definedName>
    <definedName name="Exigibilidade_Normativa" localSheetId="9">#REF!</definedName>
    <definedName name="Exigibilidade_Normativa" localSheetId="6">#REF!</definedName>
    <definedName name="Exigibilidade_Normativa" localSheetId="0">#REF!</definedName>
    <definedName name="Exigibilidade_Normativa" localSheetId="2">#REF!</definedName>
    <definedName name="Exigibilidade_Normativa" localSheetId="3">#REF!</definedName>
    <definedName name="Exigibilidade_Normativa">#REF!</definedName>
    <definedName name="Fiscalização" localSheetId="9">#REF!</definedName>
    <definedName name="Fiscalização" localSheetId="6">#REF!</definedName>
    <definedName name="Fiscalização" localSheetId="0">#REF!</definedName>
    <definedName name="Fiscalização" localSheetId="2">#REF!</definedName>
    <definedName name="Fiscalização" localSheetId="3">#REF!</definedName>
    <definedName name="Fiscalização">#REF!</definedName>
    <definedName name="Fiscalização2" localSheetId="9">#REF!</definedName>
    <definedName name="Fiscalização2" localSheetId="6">#REF!</definedName>
    <definedName name="Fiscalização2" localSheetId="0">#REF!</definedName>
    <definedName name="Fiscalização2" localSheetId="2">#REF!</definedName>
    <definedName name="Fiscalização2" localSheetId="3">#REF!</definedName>
    <definedName name="Fiscalização2">#REF!</definedName>
    <definedName name="GESTÃO_DE_PESSOAS" localSheetId="9">#REF!</definedName>
    <definedName name="GESTÃO_DE_PESSOAS" localSheetId="6">#REF!</definedName>
    <definedName name="GESTÃO_DE_PESSOAS" localSheetId="0">#REF!</definedName>
    <definedName name="GESTÃO_DE_PESSOAS" localSheetId="2">#REF!</definedName>
    <definedName name="GESTÃO_DE_PESSOAS" localSheetId="3">#REF!</definedName>
    <definedName name="GESTÃO_DE_PESSOAS">#REF!</definedName>
    <definedName name="Gestão_Interna" localSheetId="9">#REF!</definedName>
    <definedName name="Gestão_Interna" localSheetId="6">#REF!</definedName>
    <definedName name="Gestão_Interna" localSheetId="0">#REF!</definedName>
    <definedName name="Gestão_Interna" localSheetId="2">#REF!</definedName>
    <definedName name="Gestão_Interna" localSheetId="3">#REF!</definedName>
    <definedName name="Gestão_Interna">#REF!</definedName>
    <definedName name="Gestão_Interna2" localSheetId="9">#REF!</definedName>
    <definedName name="Gestão_Interna2" localSheetId="6">#REF!</definedName>
    <definedName name="Gestão_Interna2" localSheetId="0">#REF!</definedName>
    <definedName name="Gestão_Interna2" localSheetId="2">#REF!</definedName>
    <definedName name="Gestão_Interna2" localSheetId="3">#REF!</definedName>
    <definedName name="Gestão_Interna2">#REF!</definedName>
    <definedName name="Indicadores_Institucionais" localSheetId="9">#REF!</definedName>
    <definedName name="Indicadores_Institucionais" localSheetId="6">#REF!</definedName>
    <definedName name="Indicadores_Institucionais" localSheetId="0">#REF!</definedName>
    <definedName name="Indicadores_Institucionais" localSheetId="2">#REF!</definedName>
    <definedName name="Indicadores_Institucionais" localSheetId="3">#REF!</definedName>
    <definedName name="Indicadores_Institucionais">#REF!</definedName>
    <definedName name="Iniciativa" localSheetId="9">#REF!</definedName>
    <definedName name="Iniciativa" localSheetId="6">#REF!</definedName>
    <definedName name="Iniciativa" localSheetId="0">#REF!</definedName>
    <definedName name="Iniciativa" localSheetId="2">#REF!</definedName>
    <definedName name="Iniciativa" localSheetId="3">#REF!</definedName>
    <definedName name="Iniciativa">#REF!</definedName>
    <definedName name="Item" localSheetId="9">#REF!</definedName>
    <definedName name="Item" localSheetId="6">#REF!</definedName>
    <definedName name="Item" localSheetId="0">#REF!</definedName>
    <definedName name="Item" localSheetId="2">#REF!</definedName>
    <definedName name="Item" localSheetId="3">#REF!</definedName>
    <definedName name="Item">#REF!</definedName>
    <definedName name="Macroprocesso" localSheetId="9">#REF!</definedName>
    <definedName name="Macroprocesso" localSheetId="6">#REF!</definedName>
    <definedName name="Macroprocesso" localSheetId="0">#REF!</definedName>
    <definedName name="Macroprocesso" localSheetId="2">#REF!</definedName>
    <definedName name="Macroprocesso" localSheetId="3">#REF!</definedName>
    <definedName name="Macroprocesso">#REF!</definedName>
    <definedName name="Macrotema" localSheetId="9">#REF!</definedName>
    <definedName name="Macrotema" localSheetId="6">#REF!</definedName>
    <definedName name="Macrotema" localSheetId="0">#REF!</definedName>
    <definedName name="Macrotema" localSheetId="2">#REF!</definedName>
    <definedName name="Macrotema" localSheetId="3">#REF!</definedName>
    <definedName name="Macrotema">#REF!</definedName>
    <definedName name="MANUTENÇÃO_SUPORTE_E_GESTÃO" localSheetId="9">#REF!</definedName>
    <definedName name="MANUTENÇÃO_SUPORTE_E_GESTÃO" localSheetId="6">#REF!</definedName>
    <definedName name="MANUTENÇÃO_SUPORTE_E_GESTÃO" localSheetId="0">#REF!</definedName>
    <definedName name="MANUTENÇÃO_SUPORTE_E_GESTÃO" localSheetId="2">#REF!</definedName>
    <definedName name="MANUTENÇÃO_SUPORTE_E_GESTÃO" localSheetId="3">#REF!</definedName>
    <definedName name="MANUTENÇÃO_SUPORTE_E_GESTÃO">#REF!</definedName>
    <definedName name="Materiais" localSheetId="9">#REF!</definedName>
    <definedName name="Materiais" localSheetId="6">#REF!</definedName>
    <definedName name="Materiais" localSheetId="0">#REF!</definedName>
    <definedName name="Materiais" localSheetId="2">#REF!</definedName>
    <definedName name="Materiais" localSheetId="3">#REF!</definedName>
    <definedName name="Materiais">#REF!</definedName>
    <definedName name="Mês" localSheetId="9">#REF!</definedName>
    <definedName name="Mês" localSheetId="6">#REF!</definedName>
    <definedName name="Mês" localSheetId="0">#REF!</definedName>
    <definedName name="Mês" localSheetId="2">#REF!</definedName>
    <definedName name="Mês" localSheetId="3">#REF!</definedName>
    <definedName name="Mês">#REF!</definedName>
    <definedName name="Modalidade" localSheetId="9">#REF!</definedName>
    <definedName name="Modalidade" localSheetId="6">#REF!</definedName>
    <definedName name="Modalidade" localSheetId="0">#REF!</definedName>
    <definedName name="Modalidade" localSheetId="2">#REF!</definedName>
    <definedName name="Modalidade" localSheetId="3">#REF!</definedName>
    <definedName name="Modalidade">#REF!</definedName>
    <definedName name="Motivo_da_Viagem" localSheetId="9">#REF!</definedName>
    <definedName name="Motivo_da_Viagem" localSheetId="6">#REF!</definedName>
    <definedName name="Motivo_da_Viagem" localSheetId="0">#REF!</definedName>
    <definedName name="Motivo_da_Viagem" localSheetId="2">#REF!</definedName>
    <definedName name="Motivo_da_Viagem" localSheetId="3">#REF!</definedName>
    <definedName name="Motivo_da_Viagem">#REF!</definedName>
    <definedName name="Natureza_da_atividade" localSheetId="9">#REF!</definedName>
    <definedName name="Natureza_da_atividade" localSheetId="6">#REF!</definedName>
    <definedName name="Natureza_da_atividade" localSheetId="0">#REF!</definedName>
    <definedName name="Natureza_da_atividade" localSheetId="2">#REF!</definedName>
    <definedName name="Natureza_da_atividade" localSheetId="3">#REF!</definedName>
    <definedName name="Natureza_da_atividade">#REF!</definedName>
    <definedName name="Objetivo_Estratégico" localSheetId="9">#REF!</definedName>
    <definedName name="Objetivo_Estratégico" localSheetId="6">#REF!</definedName>
    <definedName name="Objetivo_Estratégico" localSheetId="0">#REF!</definedName>
    <definedName name="Objetivo_Estratégico" localSheetId="2">#REF!</definedName>
    <definedName name="Objetivo_Estratégico" localSheetId="3">#REF!</definedName>
    <definedName name="Objetivo_Estratégico">#REF!</definedName>
    <definedName name="Obras" localSheetId="9">#REF!</definedName>
    <definedName name="Obras" localSheetId="6">#REF!</definedName>
    <definedName name="Obras" localSheetId="0">#REF!</definedName>
    <definedName name="Obras" localSheetId="2">#REF!</definedName>
    <definedName name="Obras" localSheetId="3">#REF!</definedName>
    <definedName name="Obras">#REF!</definedName>
    <definedName name="Ordem_de_Prioridade" localSheetId="9">#REF!</definedName>
    <definedName name="Ordem_de_Prioridade" localSheetId="6">#REF!</definedName>
    <definedName name="Ordem_de_Prioridade" localSheetId="0">#REF!</definedName>
    <definedName name="Ordem_de_Prioridade" localSheetId="2">#REF!</definedName>
    <definedName name="Ordem_de_Prioridade" localSheetId="3">#REF!</definedName>
    <definedName name="Ordem_de_Prioridade">#REF!</definedName>
    <definedName name="Página_Eletrônica_criação_eou_reformulação" localSheetId="9">#REF!</definedName>
    <definedName name="Página_Eletrônica_criação_eou_reformulação" localSheetId="6">#REF!</definedName>
    <definedName name="Página_Eletrônica_criação_eou_reformulação" localSheetId="0">#REF!</definedName>
    <definedName name="Página_Eletrônica_criação_eou_reformulação" localSheetId="2">#REF!</definedName>
    <definedName name="Página_Eletrônica_criação_eou_reformulação" localSheetId="3">#REF!</definedName>
    <definedName name="Página_Eletrônica_criação_eou_reformulação">#REF!</definedName>
    <definedName name="_xlnm.Print_Area" localSheetId="6">'Histórico PAI Rev'!#REF!</definedName>
    <definedName name="_xlnm.Print_Area" localSheetId="7">'Valores Díárias'!#REF!</definedName>
    <definedName name="Publicação_diagramação_eou_impressão" localSheetId="9">#REF!</definedName>
    <definedName name="Publicação_diagramação_eou_impressão" localSheetId="6">#REF!</definedName>
    <definedName name="Publicação_diagramação_eou_impressão" localSheetId="0">#REF!</definedName>
    <definedName name="Publicação_diagramação_eou_impressão" localSheetId="2">#REF!</definedName>
    <definedName name="Publicação_diagramação_eou_impressão" localSheetId="3">#REF!</definedName>
    <definedName name="Publicação_diagramação_eou_impressão">#REF!</definedName>
    <definedName name="Público_a_Ser_Atendido" localSheetId="9">#REF!</definedName>
    <definedName name="Público_a_Ser_Atendido" localSheetId="6">#REF!</definedName>
    <definedName name="Público_a_Ser_Atendido" localSheetId="0">#REF!</definedName>
    <definedName name="Público_a_Ser_Atendido" localSheetId="2">#REF!</definedName>
    <definedName name="Público_a_Ser_Atendido" localSheetId="3">#REF!</definedName>
    <definedName name="Público_a_Ser_Atendido">#REF!</definedName>
    <definedName name="Regulamentação" localSheetId="9">#REF!</definedName>
    <definedName name="Regulamentação" localSheetId="6">#REF!</definedName>
    <definedName name="Regulamentação" localSheetId="0">#REF!</definedName>
    <definedName name="Regulamentação" localSheetId="2">#REF!</definedName>
    <definedName name="Regulamentação" localSheetId="3">#REF!</definedName>
    <definedName name="Regulamentação">#REF!</definedName>
    <definedName name="Regulamentação2" localSheetId="9">#REF!</definedName>
    <definedName name="Regulamentação2" localSheetId="6">#REF!</definedName>
    <definedName name="Regulamentação2" localSheetId="0">#REF!</definedName>
    <definedName name="Regulamentação2" localSheetId="2">#REF!</definedName>
    <definedName name="Regulamentação2" localSheetId="3">#REF!</definedName>
    <definedName name="Regulamentação2">#REF!</definedName>
    <definedName name="Relações_Institucionais" localSheetId="9">#REF!</definedName>
    <definedName name="Relações_Institucionais" localSheetId="6">#REF!</definedName>
    <definedName name="Relações_Institucionais" localSheetId="0">#REF!</definedName>
    <definedName name="Relações_Institucionais" localSheetId="2">#REF!</definedName>
    <definedName name="Relações_Institucionais" localSheetId="3">#REF!</definedName>
    <definedName name="Relações_Institucionais">#REF!</definedName>
    <definedName name="Relações_Institucionais2" localSheetId="9">#REF!</definedName>
    <definedName name="Relações_Institucionais2" localSheetId="6">#REF!</definedName>
    <definedName name="Relações_Institucionais2" localSheetId="0">#REF!</definedName>
    <definedName name="Relações_Institucionais2" localSheetId="2">#REF!</definedName>
    <definedName name="Relações_Institucionais2" localSheetId="3">#REF!</definedName>
    <definedName name="Relações_Institucionais2">#REF!</definedName>
    <definedName name="Serviços" localSheetId="9">#REF!</definedName>
    <definedName name="Serviços" localSheetId="6">#REF!</definedName>
    <definedName name="Serviços" localSheetId="0">#REF!</definedName>
    <definedName name="Serviços" localSheetId="2">#REF!</definedName>
    <definedName name="Serviços" localSheetId="3">#REF!</definedName>
    <definedName name="Serviços">#REF!</definedName>
    <definedName name="TI" localSheetId="9">#REF!</definedName>
    <definedName name="TI" localSheetId="6">#REF!</definedName>
    <definedName name="TI" localSheetId="0">#REF!</definedName>
    <definedName name="TI" localSheetId="2">#REF!</definedName>
    <definedName name="TI" localSheetId="3">#REF!</definedName>
    <definedName name="TI">#REF!</definedName>
    <definedName name="Tipo_de_viagem" localSheetId="9">#REF!</definedName>
    <definedName name="Tipo_de_viagem" localSheetId="6">#REF!</definedName>
    <definedName name="Tipo_de_viagem" localSheetId="0">#REF!</definedName>
    <definedName name="Tipo_de_viagem" localSheetId="2">#REF!</definedName>
    <definedName name="Tipo_de_viagem" localSheetId="3">#REF!</definedName>
    <definedName name="Tipo_de_viagem">#REF!</definedName>
    <definedName name="Tipo_do_Evento" localSheetId="9">#REF!</definedName>
    <definedName name="Tipo_do_Evento" localSheetId="6">#REF!</definedName>
    <definedName name="Tipo_do_Evento" localSheetId="0">#REF!</definedName>
    <definedName name="Tipo_do_Evento" localSheetId="2">#REF!</definedName>
    <definedName name="Tipo_do_Evento" localSheetId="3">#REF!</definedName>
    <definedName name="Tipo_do_Evento">#REF!</definedName>
    <definedName name="Turma_Vaga" localSheetId="9">#REF!</definedName>
    <definedName name="Turma_Vaga" localSheetId="6">#REF!</definedName>
    <definedName name="Turma_Vaga" localSheetId="0">#REF!</definedName>
    <definedName name="Turma_Vaga" localSheetId="2">#REF!</definedName>
    <definedName name="Turma_Vaga" localSheetId="3">#REF!</definedName>
    <definedName name="Turma_Vaga">#REF!</definedName>
    <definedName name="UORG" localSheetId="9">#REF!</definedName>
    <definedName name="UORG" localSheetId="6">#REF!</definedName>
    <definedName name="UORG" localSheetId="0">#REF!</definedName>
    <definedName name="UORG" localSheetId="2">#REF!</definedName>
    <definedName name="UORG" localSheetId="3">#REF!</definedName>
    <definedName name="UORG">#REF!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505" i="1" l="1"/>
  <c r="AQ505" i="1"/>
  <c r="AF512" i="1"/>
  <c r="BA512" i="1"/>
  <c r="AQ69" i="1"/>
  <c r="BA13" i="1"/>
  <c r="AX177" i="1"/>
  <c r="AW177" i="1"/>
  <c r="AV177" i="1"/>
  <c r="AR177" i="1"/>
  <c r="AQ177" i="1"/>
  <c r="AF177" i="1"/>
  <c r="AX176" i="1"/>
  <c r="AW176" i="1"/>
  <c r="AV176" i="1"/>
  <c r="AR176" i="1"/>
  <c r="AQ176" i="1"/>
  <c r="AF176" i="1"/>
  <c r="AX394" i="1"/>
  <c r="AV394" i="1"/>
  <c r="AF511" i="1"/>
  <c r="BA511" i="1"/>
  <c r="AF510" i="1"/>
  <c r="BA510" i="1"/>
  <c r="AF509" i="1"/>
  <c r="BA509" i="1"/>
  <c r="BA84" i="1"/>
  <c r="BA296" i="1"/>
  <c r="BA90" i="1"/>
  <c r="BA93" i="1"/>
  <c r="BA97" i="1"/>
  <c r="BA217" i="1"/>
  <c r="BA216" i="1"/>
  <c r="BA499" i="1"/>
  <c r="BA500" i="1"/>
  <c r="AF500" i="1"/>
  <c r="BA110" i="1"/>
  <c r="BA301" i="1"/>
  <c r="BA132" i="1"/>
  <c r="BA107" i="1"/>
  <c r="BA213" i="1"/>
  <c r="BA103" i="1"/>
  <c r="BA101" i="1"/>
  <c r="BA100" i="1"/>
  <c r="BA91" i="1"/>
  <c r="BA96" i="1"/>
  <c r="BA109" i="1"/>
  <c r="BA108" i="1"/>
  <c r="BA236" i="1"/>
  <c r="BA88" i="1"/>
  <c r="BA498" i="1"/>
  <c r="BA274" i="1"/>
  <c r="BA102" i="1"/>
  <c r="AX175" i="1"/>
  <c r="AW175" i="1"/>
  <c r="AV175" i="1"/>
  <c r="AR175" i="1"/>
  <c r="AQ175" i="1"/>
  <c r="AF175" i="1"/>
  <c r="AV174" i="1"/>
  <c r="AW174" i="1"/>
  <c r="AX174" i="1"/>
  <c r="BA317" i="1"/>
  <c r="AF498" i="1"/>
  <c r="BA95" i="1"/>
  <c r="BA98" i="1"/>
  <c r="BA80" i="1"/>
  <c r="BA82" i="1"/>
  <c r="BA89" i="1"/>
  <c r="BA81" i="1"/>
  <c r="BA85" i="1"/>
  <c r="BA47" i="1"/>
  <c r="BA46" i="1"/>
  <c r="BA76" i="1"/>
  <c r="BA158" i="1"/>
  <c r="BA86" i="1"/>
  <c r="BA284" i="1"/>
  <c r="BA73" i="1"/>
  <c r="BA74" i="1"/>
  <c r="BA63" i="1"/>
  <c r="BA72" i="1"/>
  <c r="BA83" i="1"/>
  <c r="BA28" i="1"/>
  <c r="BA29" i="1"/>
  <c r="BA27" i="1"/>
  <c r="BA64" i="1"/>
  <c r="BA65" i="1"/>
  <c r="BA60" i="1"/>
  <c r="AY60" i="1"/>
  <c r="BA59" i="1"/>
  <c r="BA58" i="1"/>
  <c r="AY18" i="1"/>
  <c r="BA18" i="1"/>
  <c r="BA17" i="1"/>
  <c r="BA14" i="1"/>
  <c r="AY14" i="1"/>
  <c r="BA10" i="1"/>
  <c r="AY10" i="1"/>
  <c r="BA6" i="1"/>
  <c r="AY6" i="1"/>
  <c r="BA4" i="1"/>
  <c r="AY4" i="1"/>
  <c r="BA39" i="1"/>
  <c r="N18" i="5"/>
  <c r="AF508" i="1"/>
  <c r="AF507" i="1"/>
  <c r="AF96" i="1"/>
  <c r="AF506" i="1"/>
  <c r="AF505" i="1"/>
  <c r="AR41" i="1"/>
  <c r="AF41" i="1"/>
  <c r="AR38" i="1"/>
  <c r="AF38" i="1"/>
  <c r="AQ108" i="1"/>
  <c r="AR108" i="1" s="1"/>
  <c r="AF108" i="1"/>
  <c r="AR40" i="1"/>
  <c r="AR42" i="1"/>
  <c r="AF42" i="1"/>
  <c r="AF217" i="1"/>
  <c r="AF29" i="1"/>
  <c r="AY65" i="1"/>
  <c r="AY58" i="1"/>
  <c r="AY59" i="1"/>
  <c r="AX101" i="1"/>
  <c r="AX100" i="1"/>
  <c r="AW101" i="1"/>
  <c r="AW100" i="1"/>
  <c r="AV101" i="1"/>
  <c r="AV100" i="1"/>
  <c r="AF101" i="1"/>
  <c r="AF504" i="1"/>
  <c r="AF503" i="1"/>
  <c r="I16" i="14"/>
  <c r="H16" i="14"/>
  <c r="C74" i="14"/>
  <c r="H17" i="14" s="1"/>
  <c r="AF103" i="1"/>
  <c r="AR37" i="1"/>
  <c r="AF37" i="1"/>
  <c r="AF40" i="1"/>
  <c r="AF132" i="1"/>
  <c r="AF499" i="1"/>
  <c r="AF497" i="1"/>
  <c r="AF70" i="1"/>
  <c r="AY64" i="1"/>
  <c r="AY17" i="1"/>
  <c r="N19" i="5"/>
  <c r="AR81" i="1"/>
  <c r="AQ81" i="1"/>
  <c r="AF81" i="1"/>
  <c r="AF47" i="1"/>
  <c r="AF35" i="1"/>
  <c r="AR93" i="1"/>
  <c r="AQ93" i="1"/>
  <c r="AF93" i="1"/>
  <c r="AF74" i="1"/>
  <c r="AF65" i="1"/>
  <c r="AF17" i="1"/>
  <c r="AF15" i="1"/>
  <c r="AF6" i="1"/>
  <c r="AF5" i="1"/>
  <c r="AF4" i="1"/>
  <c r="AF338" i="1"/>
  <c r="AF27" i="1"/>
  <c r="AF193" i="1"/>
  <c r="AF69" i="1"/>
  <c r="AF82" i="1"/>
  <c r="AF83" i="1"/>
  <c r="AF63" i="1"/>
  <c r="C2" i="12"/>
  <c r="C3" i="12"/>
  <c r="C4" i="12"/>
  <c r="C5" i="12"/>
  <c r="C6" i="12"/>
  <c r="C7" i="12"/>
  <c r="C8" i="12"/>
  <c r="C9" i="12"/>
  <c r="C10" i="12"/>
  <c r="C11" i="12"/>
  <c r="C12" i="12"/>
  <c r="C13" i="12"/>
  <c r="C14" i="12"/>
  <c r="C15" i="12"/>
  <c r="C16" i="12"/>
  <c r="C18" i="12"/>
  <c r="AF28" i="1"/>
  <c r="AR209" i="1" l="1"/>
  <c r="AQ209" i="1"/>
  <c r="AF354" i="1"/>
  <c r="AF353" i="1"/>
  <c r="AF279" i="1"/>
  <c r="AF370" i="1"/>
  <c r="AF382" i="1"/>
  <c r="AF280" i="1"/>
  <c r="AF363" i="1"/>
  <c r="AF413" i="1"/>
  <c r="AF68" i="1" l="1"/>
  <c r="AF109" i="1"/>
  <c r="AF46" i="1"/>
  <c r="D2" i="14"/>
  <c r="K2" i="14"/>
  <c r="G2" i="14"/>
  <c r="AF26" i="1" l="1"/>
  <c r="AF48" i="1"/>
  <c r="B10" i="13"/>
  <c r="B9" i="13"/>
  <c r="B8" i="13"/>
  <c r="B6" i="13"/>
  <c r="B5" i="13"/>
  <c r="C4" i="13"/>
  <c r="B3" i="13"/>
  <c r="AF59" i="1"/>
  <c r="H15" i="11"/>
  <c r="H18" i="11"/>
  <c r="F18" i="11"/>
  <c r="I5" i="11"/>
  <c r="B18" i="12"/>
  <c r="M5" i="5"/>
  <c r="M18" i="5" s="1"/>
  <c r="M19" i="5" s="1"/>
  <c r="AF49" i="1"/>
  <c r="AF25" i="1"/>
  <c r="B19" i="12" l="1"/>
  <c r="B11" i="13"/>
  <c r="AF94" i="1"/>
  <c r="AF55" i="1"/>
  <c r="AR12" i="1"/>
  <c r="AQ12" i="1"/>
  <c r="AF12" i="1"/>
  <c r="AR11" i="1"/>
  <c r="AQ11" i="1"/>
  <c r="AF11" i="1"/>
  <c r="I11" i="11"/>
  <c r="AR22" i="1"/>
  <c r="AF22" i="1"/>
  <c r="H5" i="11" l="1"/>
  <c r="G11" i="11"/>
  <c r="F11" i="11"/>
  <c r="G4" i="11"/>
  <c r="H4" i="11"/>
  <c r="F4" i="11"/>
  <c r="F16" i="11"/>
  <c r="H16" i="11"/>
  <c r="I15" i="11"/>
  <c r="I16" i="11" s="1"/>
  <c r="F15" i="11"/>
  <c r="G5" i="11"/>
  <c r="G15" i="11"/>
  <c r="G10" i="11"/>
  <c r="F10" i="11"/>
  <c r="E10" i="11"/>
  <c r="D10" i="11"/>
  <c r="C10" i="11"/>
  <c r="H10" i="11"/>
  <c r="B9" i="11"/>
  <c r="B10" i="11" s="1"/>
  <c r="F5" i="11"/>
  <c r="E5" i="11"/>
  <c r="D5" i="11"/>
  <c r="C5" i="11"/>
  <c r="B3" i="11"/>
  <c r="B2" i="11" s="1"/>
  <c r="D2" i="11"/>
  <c r="C2" i="11"/>
  <c r="B3" i="9"/>
  <c r="B4" i="9"/>
  <c r="B5" i="9"/>
  <c r="B6" i="9"/>
  <c r="B7" i="9"/>
  <c r="B10" i="9"/>
  <c r="B11" i="9"/>
  <c r="B12" i="9"/>
  <c r="B13" i="9"/>
  <c r="B14" i="9"/>
  <c r="B15" i="9"/>
  <c r="B16" i="9"/>
  <c r="B17" i="9"/>
  <c r="B2" i="9"/>
  <c r="AF151" i="1"/>
  <c r="AR171" i="1"/>
  <c r="AF171" i="1"/>
  <c r="AF136" i="1"/>
  <c r="G16" i="11" l="1"/>
  <c r="G18" i="11"/>
  <c r="B18" i="9"/>
  <c r="H11" i="11"/>
  <c r="C11" i="11"/>
  <c r="D11" i="11"/>
  <c r="E11" i="11"/>
  <c r="B5" i="11"/>
  <c r="B11" i="11" s="1"/>
  <c r="B16" i="11"/>
  <c r="C16" i="11"/>
  <c r="D16" i="11"/>
  <c r="E16" i="11"/>
  <c r="AR45" i="1" l="1"/>
  <c r="AF45" i="1"/>
  <c r="AF454" i="1"/>
  <c r="AF207" i="1"/>
  <c r="AF241" i="1"/>
  <c r="AF133" i="1"/>
  <c r="E8" i="5" l="1"/>
  <c r="D18" i="5" l="1"/>
  <c r="B18" i="5" l="1"/>
  <c r="E18" i="5"/>
  <c r="F11" i="5" s="1"/>
  <c r="D4" i="9"/>
  <c r="D11" i="9"/>
  <c r="D14" i="9"/>
  <c r="D15" i="9"/>
  <c r="D16" i="9"/>
  <c r="G18" i="5"/>
  <c r="H5" i="5" s="1"/>
  <c r="B19" i="5" l="1"/>
  <c r="C20" i="5"/>
  <c r="G19" i="5"/>
  <c r="E19" i="5"/>
  <c r="H2" i="5"/>
  <c r="F7" i="5"/>
  <c r="H10" i="5"/>
  <c r="H9" i="5"/>
  <c r="H8" i="5"/>
  <c r="H7" i="5"/>
  <c r="H6" i="5"/>
  <c r="H4" i="5"/>
  <c r="H16" i="5"/>
  <c r="H3" i="5"/>
  <c r="H15" i="5"/>
  <c r="H14" i="5"/>
  <c r="H11" i="5"/>
  <c r="H13" i="5"/>
  <c r="H12" i="5"/>
  <c r="C14" i="5"/>
  <c r="AR239" i="1"/>
  <c r="AR409" i="1"/>
  <c r="AR21" i="1"/>
  <c r="AR142" i="1"/>
  <c r="AR208" i="1"/>
  <c r="AR452" i="1"/>
  <c r="AR141" i="1"/>
  <c r="AR395" i="1"/>
  <c r="AQ395" i="1"/>
  <c r="AQ244" i="1"/>
  <c r="AR139" i="1"/>
  <c r="AQ133" i="1"/>
  <c r="AR294" i="1"/>
  <c r="AQ294" i="1"/>
  <c r="H18" i="5" l="1"/>
  <c r="C13" i="5"/>
  <c r="C11" i="5"/>
  <c r="C10" i="5"/>
  <c r="C9" i="5"/>
  <c r="C8" i="5"/>
  <c r="C12" i="5"/>
  <c r="C7" i="5"/>
  <c r="C6" i="5"/>
  <c r="C2" i="5"/>
  <c r="C5" i="5"/>
  <c r="C16" i="5"/>
  <c r="C4" i="5"/>
  <c r="C15" i="5"/>
  <c r="C3" i="5"/>
  <c r="D3" i="9"/>
  <c r="AR214" i="1"/>
  <c r="AQ214" i="1"/>
  <c r="AQ439" i="1"/>
  <c r="AQ452" i="1"/>
  <c r="AR325" i="1"/>
  <c r="AQ325" i="1"/>
  <c r="AR80" i="1"/>
  <c r="AQ80" i="1"/>
  <c r="AQ139" i="1"/>
  <c r="AQ141" i="1"/>
  <c r="AQ409" i="1"/>
  <c r="AQ239" i="1"/>
  <c r="AQ208" i="1"/>
  <c r="AQ142" i="1"/>
  <c r="AR475" i="1"/>
  <c r="AQ475" i="1"/>
  <c r="AR465" i="1"/>
  <c r="AQ465" i="1"/>
  <c r="AQ307" i="1"/>
  <c r="AQ21" i="1"/>
  <c r="AR192" i="1"/>
  <c r="AQ192" i="1"/>
  <c r="AQ91" i="1"/>
  <c r="AR91" i="1"/>
  <c r="AQ263" i="1"/>
  <c r="AQ262" i="1"/>
  <c r="AQ234" i="1"/>
  <c r="AR383" i="1"/>
  <c r="AQ383" i="1"/>
  <c r="AQ87" i="1"/>
  <c r="AQ313" i="1"/>
  <c r="C3" i="13" l="1"/>
  <c r="D8" i="9"/>
  <c r="D9" i="9" s="1"/>
  <c r="I8" i="5" s="1"/>
  <c r="C7" i="13"/>
  <c r="D12" i="9"/>
  <c r="C8" i="13"/>
  <c r="D17" i="9"/>
  <c r="K16" i="5" s="1"/>
  <c r="C10" i="13"/>
  <c r="D13" i="9"/>
  <c r="C9" i="13"/>
  <c r="D5" i="9"/>
  <c r="C5" i="13"/>
  <c r="D6" i="9"/>
  <c r="C6" i="13"/>
  <c r="K3" i="5"/>
  <c r="J3" i="5"/>
  <c r="I3" i="5"/>
  <c r="I10" i="5"/>
  <c r="J17" i="5"/>
  <c r="D10" i="9"/>
  <c r="D2" i="9"/>
  <c r="J2" i="5" s="1"/>
  <c r="D7" i="9"/>
  <c r="J7" i="5" s="1"/>
  <c r="C18" i="5"/>
  <c r="AR305" i="1"/>
  <c r="AQ305" i="1"/>
  <c r="AQ243" i="1"/>
  <c r="AR249" i="1"/>
  <c r="AQ249" i="1"/>
  <c r="AQ308" i="1"/>
  <c r="AR174" i="1"/>
  <c r="AQ174" i="1"/>
  <c r="AR178" i="1"/>
  <c r="AQ178" i="1"/>
  <c r="AR401" i="1"/>
  <c r="AQ401" i="1"/>
  <c r="AQ298" i="1"/>
  <c r="I13" i="5" s="1"/>
  <c r="AR358" i="1"/>
  <c r="AQ358" i="1"/>
  <c r="AR342" i="1"/>
  <c r="AQ342" i="1"/>
  <c r="AR153" i="1"/>
  <c r="AQ153" i="1"/>
  <c r="AR341" i="1"/>
  <c r="AQ341" i="1"/>
  <c r="AR138" i="1"/>
  <c r="AQ138" i="1"/>
  <c r="AF114" i="1"/>
  <c r="AF76" i="1"/>
  <c r="AR36" i="1"/>
  <c r="AF36" i="1"/>
  <c r="AR197" i="1"/>
  <c r="AF197" i="1"/>
  <c r="AR134" i="1"/>
  <c r="AQ134" i="1"/>
  <c r="AR90" i="1"/>
  <c r="AQ90" i="1"/>
  <c r="AQ407" i="1"/>
  <c r="AQ356" i="1"/>
  <c r="AQ92" i="1"/>
  <c r="I5" i="5" l="1"/>
  <c r="J16" i="5"/>
  <c r="J8" i="5"/>
  <c r="J5" i="5"/>
  <c r="C11" i="13"/>
  <c r="J11" i="5"/>
  <c r="I2" i="5"/>
  <c r="K7" i="5"/>
  <c r="I16" i="5"/>
  <c r="J12" i="5"/>
  <c r="K12" i="5"/>
  <c r="I7" i="5"/>
  <c r="I11" i="5"/>
  <c r="I12" i="5"/>
  <c r="K9" i="5"/>
  <c r="J9" i="5"/>
  <c r="I9" i="5"/>
  <c r="D18" i="9"/>
  <c r="AR172" i="1"/>
  <c r="AR131" i="1"/>
  <c r="AR39" i="1"/>
  <c r="AR170" i="1"/>
  <c r="K8" i="5" s="1"/>
  <c r="AR196" i="1"/>
  <c r="AR278" i="1"/>
  <c r="K5" i="5" s="1"/>
  <c r="AQ156" i="1"/>
  <c r="AR133" i="1"/>
  <c r="AQ107" i="1"/>
  <c r="K11" i="5" l="1"/>
  <c r="K2" i="5"/>
  <c r="J6" i="5"/>
  <c r="I6" i="5"/>
  <c r="I4" i="5"/>
  <c r="J4" i="5"/>
  <c r="AR107" i="1"/>
  <c r="K6" i="5" s="1"/>
  <c r="K10" i="5" l="1"/>
  <c r="K13" i="5"/>
  <c r="K14" i="5"/>
  <c r="K15" i="5"/>
  <c r="K4" i="5" l="1"/>
  <c r="AF137" i="1" l="1"/>
  <c r="AF135" i="1"/>
  <c r="AF150" i="1"/>
  <c r="AF183" i="1"/>
  <c r="AF105" i="1"/>
  <c r="AF179" i="1"/>
  <c r="AF261" i="1"/>
  <c r="AF259" i="1"/>
  <c r="AF172" i="1"/>
  <c r="AF118" i="1"/>
  <c r="AF123" i="1"/>
  <c r="AF125" i="1"/>
  <c r="AF120" i="1"/>
  <c r="AF122" i="1"/>
  <c r="AF127" i="1"/>
  <c r="AF126" i="1"/>
  <c r="AF117" i="1"/>
  <c r="AF116" i="1"/>
  <c r="AF128" i="1"/>
  <c r="AF333" i="1" l="1"/>
  <c r="I17" i="5" l="1"/>
  <c r="K17" i="5"/>
  <c r="K18" i="5" s="1"/>
  <c r="K19" i="5" s="1"/>
  <c r="I2" i="11" s="1"/>
  <c r="I4" i="11" s="1"/>
  <c r="I18" i="11" s="1"/>
  <c r="AF159" i="1"/>
  <c r="AF429" i="1"/>
  <c r="AF347" i="1"/>
  <c r="AF225" i="1"/>
  <c r="L17" i="5" l="1"/>
  <c r="L18" i="5" l="1"/>
  <c r="L19" i="5" s="1"/>
  <c r="AF488" i="1"/>
  <c r="AF294" i="1"/>
  <c r="AF322" i="1"/>
  <c r="AF293" i="1"/>
  <c r="AF476" i="1"/>
  <c r="AF416" i="1"/>
  <c r="AF431" i="1"/>
  <c r="AF487" i="1"/>
  <c r="AF484" i="1"/>
  <c r="AF483" i="1"/>
  <c r="AF474" i="1"/>
  <c r="AF381" i="1"/>
  <c r="AF380" i="1"/>
  <c r="AF379" i="1"/>
  <c r="AF463" i="1"/>
  <c r="AF418" i="1"/>
  <c r="AF439" i="1"/>
  <c r="AF496" i="1" l="1"/>
  <c r="AF106" i="1"/>
  <c r="AF327" i="1"/>
  <c r="AF328" i="1"/>
  <c r="AF369" i="1" l="1"/>
  <c r="AF414" i="1"/>
  <c r="AF415" i="1"/>
  <c r="AF368" i="1"/>
  <c r="AF495" i="1"/>
  <c r="AF366" i="1"/>
  <c r="AF169" i="1"/>
  <c r="AF451" i="1"/>
  <c r="AF391" i="1"/>
  <c r="AF482" i="1"/>
  <c r="AF390" i="1"/>
  <c r="AF450" i="1"/>
  <c r="AF352" i="1"/>
  <c r="AF371" i="1"/>
  <c r="AF372" i="1"/>
  <c r="AF373" i="1"/>
  <c r="AF374" i="1"/>
  <c r="AF410" i="1"/>
  <c r="AF257" i="1"/>
  <c r="AF360" i="1"/>
  <c r="AF343" i="1"/>
  <c r="AF468" i="1"/>
  <c r="AF385" i="1"/>
  <c r="AF386" i="1"/>
  <c r="AF408" i="1"/>
  <c r="AF384" i="1"/>
  <c r="AF113" i="1"/>
  <c r="AF448" i="1"/>
  <c r="AF490" i="1"/>
  <c r="I15" i="5" l="1"/>
  <c r="AF170" i="1" l="1"/>
  <c r="AF214" i="1"/>
  <c r="AF326" i="1"/>
  <c r="AF477" i="1"/>
  <c r="AF180" i="1"/>
  <c r="AF152" i="1"/>
  <c r="AF216" i="1"/>
  <c r="AF173" i="1"/>
  <c r="AF218" i="1"/>
  <c r="AF230" i="1"/>
  <c r="AF79" i="1"/>
  <c r="AF254" i="1"/>
  <c r="AF378" i="1"/>
  <c r="AF19" i="1"/>
  <c r="AF181" i="1"/>
  <c r="AF154" i="1"/>
  <c r="AF282" i="1" l="1"/>
  <c r="AF205" i="1"/>
  <c r="AF233" i="1"/>
  <c r="AF393" i="1"/>
  <c r="AF219" i="1"/>
  <c r="AF220" i="1"/>
  <c r="AF471" i="1"/>
  <c r="AF73" i="1"/>
  <c r="AF275" i="1"/>
  <c r="AF274" i="1"/>
  <c r="AF392" i="1"/>
  <c r="AF273" i="1"/>
  <c r="AF367" i="1"/>
  <c r="AF18" i="1"/>
  <c r="AF270" i="1"/>
  <c r="AF168" i="1"/>
  <c r="AF204" i="1"/>
  <c r="AF60" i="1"/>
  <c r="AF167" i="1"/>
  <c r="AF237" i="1"/>
  <c r="AF238" i="1"/>
  <c r="AF266" i="1"/>
  <c r="AF409" i="1"/>
  <c r="AF239" i="1"/>
  <c r="AF143" i="1"/>
  <c r="AF212" i="1"/>
  <c r="AF264" i="1"/>
  <c r="AF491" i="1"/>
  <c r="AF224" i="1"/>
  <c r="AF365" i="1"/>
  <c r="AF301" i="1"/>
  <c r="AF481" i="1"/>
  <c r="AF20" i="1"/>
  <c r="AF211" i="1"/>
  <c r="AF470" i="1"/>
  <c r="AF210" i="1"/>
  <c r="AF364" i="1"/>
  <c r="AF209" i="1"/>
  <c r="AF142" i="1"/>
  <c r="AF86" i="1"/>
  <c r="AF223" i="1"/>
  <c r="AF222" i="1"/>
  <c r="AF221" i="1"/>
  <c r="AF85" i="1"/>
  <c r="AF469" i="1"/>
  <c r="AF236" i="1"/>
  <c r="AF389" i="1"/>
  <c r="AF492" i="1"/>
  <c r="AF464" i="1"/>
  <c r="AF50" i="1"/>
  <c r="AF449" i="1"/>
  <c r="AF258" i="1"/>
  <c r="AF387" i="1"/>
  <c r="AF452" i="1"/>
  <c r="AF52" i="1"/>
  <c r="AF361" i="1"/>
  <c r="AF388" i="1"/>
  <c r="AF208" i="1"/>
  <c r="AF10" i="1"/>
  <c r="AF203" i="1"/>
  <c r="AF200" i="1"/>
  <c r="AF201" i="1"/>
  <c r="AF202" i="1"/>
  <c r="AF235" i="1"/>
  <c r="AF166" i="1"/>
  <c r="AF141" i="1"/>
  <c r="AF53" i="1"/>
  <c r="AF16" i="1"/>
  <c r="AF467" i="1"/>
  <c r="AF199" i="1"/>
  <c r="AF58" i="1"/>
  <c r="AF139" i="1"/>
  <c r="AF140" i="1"/>
  <c r="AF198" i="1"/>
  <c r="AF213" i="1"/>
  <c r="AF383" i="1"/>
  <c r="AF95" i="1"/>
  <c r="AF256" i="1"/>
  <c r="AF480" i="1"/>
  <c r="AF278" i="1"/>
  <c r="AF269" i="1"/>
  <c r="AF358" i="1" l="1"/>
  <c r="AF430" i="1"/>
  <c r="AF242" i="1"/>
  <c r="AF424" i="1"/>
  <c r="AF309" i="1"/>
  <c r="AF71" i="1"/>
  <c r="AF440" i="1"/>
  <c r="AF51" i="1"/>
  <c r="AF292" i="1"/>
  <c r="AF479" i="1"/>
  <c r="AF422" i="1"/>
  <c r="AF456" i="1"/>
  <c r="AF434" i="1"/>
  <c r="AF313" i="1"/>
  <c r="AF321" i="1"/>
  <c r="AF460" i="1"/>
  <c r="AF445" i="1"/>
  <c r="AF21" i="1"/>
  <c r="AF307" i="1"/>
  <c r="AF298" i="1"/>
  <c r="AF494" i="1"/>
  <c r="AF461" i="1"/>
  <c r="AF438" i="1"/>
  <c r="AF329" i="1"/>
  <c r="AF442" i="1"/>
  <c r="AF302" i="1"/>
  <c r="AF303" i="1"/>
  <c r="AF78" i="1"/>
  <c r="AF437" i="1"/>
  <c r="AF248" i="1"/>
  <c r="AF249" i="1"/>
  <c r="AF97" i="1"/>
  <c r="AF250" i="1"/>
  <c r="AF276" i="1"/>
  <c r="AF277" i="1"/>
  <c r="AF299" i="1"/>
  <c r="AF300" i="1"/>
  <c r="AF251" i="1"/>
  <c r="AF252" i="1"/>
  <c r="AF308" i="1"/>
  <c r="AF394" i="1"/>
  <c r="AF34" i="1"/>
  <c r="AF33" i="1"/>
  <c r="AF189" i="1"/>
  <c r="AF350" i="1"/>
  <c r="AF297" i="1"/>
  <c r="AF271" i="1"/>
  <c r="AF144" i="1"/>
  <c r="AF312" i="1"/>
  <c r="AF131" i="1"/>
  <c r="AF77" i="1"/>
  <c r="AF397" i="1"/>
  <c r="AF23" i="1"/>
  <c r="AF111" i="1"/>
  <c r="AF44" i="1"/>
  <c r="AF231" i="1" l="1"/>
  <c r="AF232" i="1"/>
  <c r="AF91" i="1"/>
  <c r="AF129" i="1"/>
  <c r="AF192" i="1"/>
  <c r="AF240" i="1"/>
  <c r="AF262" i="1"/>
  <c r="AF263" i="1"/>
  <c r="AF314" i="1"/>
  <c r="AF315" i="1"/>
  <c r="AF88" i="1"/>
  <c r="AF265" i="1"/>
  <c r="AF227" i="1"/>
  <c r="AF229" i="1"/>
  <c r="AF226" i="1"/>
  <c r="AF228" i="1"/>
  <c r="AF234" i="1"/>
  <c r="AF404" i="1"/>
  <c r="AF473" i="1"/>
  <c r="AF61" i="1"/>
  <c r="AF323" i="1"/>
  <c r="AF453" i="1"/>
  <c r="AF9" i="1"/>
  <c r="AF398" i="1"/>
  <c r="AF359" i="1"/>
  <c r="AF318" i="1"/>
  <c r="AF357" i="1"/>
  <c r="AF283" i="1"/>
  <c r="AF425" i="1"/>
  <c r="AF411" i="1"/>
  <c r="AF412" i="1"/>
  <c r="AF417" i="1"/>
  <c r="AF316" i="1"/>
  <c r="AF447" i="1"/>
  <c r="AF458" i="1"/>
  <c r="AF311" i="1"/>
  <c r="AF401" i="1"/>
  <c r="I14" i="5"/>
  <c r="I18" i="5" s="1"/>
  <c r="I19" i="5" s="1"/>
  <c r="AF344" i="1" l="1"/>
  <c r="AF287" i="1"/>
  <c r="AF194" i="1"/>
  <c r="AF345" i="1"/>
  <c r="AF98" i="1"/>
  <c r="AF462" i="1"/>
  <c r="AF215" i="1"/>
  <c r="AF145" i="1"/>
  <c r="AF124" i="1"/>
  <c r="AF486" i="1"/>
  <c r="AF90" i="1" l="1"/>
  <c r="AF134" i="1"/>
  <c r="AF75" i="1"/>
  <c r="AF190" i="1"/>
  <c r="AF459" i="1"/>
  <c r="AF104" i="1"/>
  <c r="AF155" i="1"/>
  <c r="AF245" i="1"/>
  <c r="AF115" i="1"/>
  <c r="AF165" i="1"/>
  <c r="AF130" i="1"/>
  <c r="AF291" i="1"/>
  <c r="AF351" i="1"/>
  <c r="AF375" i="1"/>
  <c r="AF336" i="1"/>
  <c r="AF403" i="1"/>
  <c r="AF306" i="1"/>
  <c r="AF330" i="1"/>
  <c r="AF444" i="1"/>
  <c r="AF402" i="1"/>
  <c r="AF426" i="1"/>
  <c r="AF112" i="1"/>
  <c r="AF80" i="1"/>
  <c r="AF188" i="1"/>
  <c r="AF13" i="1"/>
  <c r="AF7" i="1"/>
  <c r="AF110" i="1"/>
  <c r="AF247" i="1"/>
  <c r="AF420" i="1"/>
  <c r="AF421" i="1"/>
  <c r="AF246" i="1"/>
  <c r="AF335" i="1"/>
  <c r="AF325" i="1"/>
  <c r="AF102" i="1"/>
  <c r="AF331" i="1"/>
  <c r="AF337" i="1"/>
  <c r="AF457" i="1"/>
  <c r="AF195" i="1"/>
  <c r="AF100" i="1"/>
  <c r="AF39" i="1"/>
  <c r="AF196" i="1"/>
  <c r="AF255" i="1"/>
  <c r="AF290" i="1"/>
  <c r="AF377" i="1"/>
  <c r="AF339" i="1"/>
  <c r="AF30" i="1"/>
  <c r="AF31" i="1"/>
  <c r="AF433" i="1"/>
  <c r="AF84" i="1"/>
  <c r="AF54" i="1"/>
  <c r="AF489" i="1"/>
  <c r="AF332" i="1"/>
  <c r="AF119" i="1"/>
  <c r="AF478" i="1" l="1"/>
  <c r="AF64" i="1"/>
  <c r="AF286" i="1"/>
  <c r="AF186" i="1"/>
  <c r="AF187" i="1"/>
  <c r="AF253" i="1"/>
  <c r="AF288" i="1"/>
  <c r="AF289" i="1"/>
  <c r="AF348" i="1"/>
  <c r="AF472" i="1"/>
  <c r="AF455" i="1"/>
  <c r="AF493" i="1"/>
  <c r="AF284" i="1"/>
  <c r="AF285" i="1"/>
  <c r="AF272" i="1"/>
  <c r="AF362" i="1"/>
  <c r="AF14" i="1"/>
  <c r="AF260" i="1"/>
  <c r="AF72" i="1"/>
  <c r="AF427" i="1"/>
  <c r="AF376" i="1"/>
  <c r="AF395" i="1"/>
  <c r="AF319" i="1"/>
  <c r="AF62" i="1"/>
  <c r="AF281" i="1"/>
  <c r="AF310" i="1"/>
  <c r="AF92" i="1"/>
  <c r="AF407" i="1"/>
  <c r="AF356" i="1"/>
  <c r="AF446" i="1"/>
  <c r="AF149" i="1"/>
  <c r="AF67" i="1"/>
  <c r="AF267" i="1"/>
  <c r="AF147" i="1"/>
  <c r="AF174" i="1"/>
  <c r="AF349" i="1"/>
  <c r="AF160" i="1"/>
  <c r="AF161" i="1"/>
  <c r="AF158" i="1"/>
  <c r="AF162" i="1"/>
  <c r="AF178" i="1"/>
  <c r="AF304" i="1"/>
  <c r="AF305" i="1"/>
  <c r="AF355" i="1"/>
  <c r="AF441" i="1"/>
  <c r="AF466" i="1"/>
  <c r="AF423" i="1"/>
  <c r="AF346" i="1"/>
  <c r="AF406" i="1"/>
  <c r="AF405" i="1"/>
  <c r="AF191" i="1"/>
  <c r="AF184" i="1"/>
  <c r="AF436" i="1"/>
  <c r="AF396" i="1"/>
  <c r="AF243" i="1" l="1"/>
  <c r="J10" i="5" l="1"/>
  <c r="J13" i="5"/>
  <c r="J14" i="5"/>
  <c r="J15" i="5"/>
  <c r="J18" i="5" l="1"/>
  <c r="J19" i="5" s="1"/>
  <c r="F2" i="5"/>
  <c r="AF244" i="1"/>
  <c r="AF206" i="1"/>
  <c r="AF485" i="1"/>
  <c r="AF428" i="1"/>
  <c r="AF435" i="1"/>
  <c r="AF432" i="1"/>
  <c r="AF399" i="1"/>
  <c r="AF340" i="1"/>
  <c r="AF24" i="1"/>
  <c r="AF320" i="1"/>
  <c r="AF342" i="1"/>
  <c r="AF43" i="1"/>
  <c r="AF8" i="1"/>
  <c r="AF185" i="1"/>
  <c r="AF153" i="1"/>
  <c r="AF295" i="1"/>
  <c r="AF57" i="1"/>
  <c r="AF89" i="1"/>
  <c r="AF56" i="1"/>
  <c r="AF107" i="1"/>
  <c r="AF443" i="1"/>
  <c r="AF341" i="1"/>
  <c r="AF400" i="1"/>
  <c r="AF138" i="1"/>
  <c r="F13" i="5" l="1"/>
  <c r="F12" i="5"/>
  <c r="F3" i="5"/>
  <c r="F14" i="5"/>
  <c r="F10" i="5"/>
  <c r="F16" i="5"/>
  <c r="F6" i="5"/>
  <c r="F4" i="5"/>
  <c r="F5" i="5"/>
  <c r="F9" i="5"/>
  <c r="F8" i="5"/>
  <c r="F15" i="5"/>
  <c r="AF87" i="1"/>
  <c r="AF99" i="1"/>
  <c r="AF146" i="1"/>
  <c r="AF157" i="1"/>
  <c r="AF148" i="1"/>
  <c r="AF121" i="1"/>
  <c r="AF163" i="1"/>
  <c r="AF156" i="1"/>
  <c r="AF164" i="1"/>
  <c r="AF182" i="1"/>
  <c r="AF268" i="1"/>
  <c r="AF296" i="1"/>
  <c r="AF334" i="1"/>
  <c r="AF419" i="1"/>
  <c r="AF317" i="1"/>
  <c r="AF324" i="1"/>
  <c r="AF465" i="1"/>
  <c r="AF475" i="1"/>
  <c r="AF501" i="1"/>
  <c r="AF66" i="1"/>
  <c r="AF32" i="1"/>
  <c r="F18"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tc={18DE1A51-1483-411E-A5BE-2B3A44A7BCF9}</author>
    <author>tc={654D818D-14D3-4EBB-9BDE-F92931CA76A8}</author>
    <author>tc={FA9F51FD-0ECD-4994-A7AF-7FA1BB164651}</author>
  </authors>
  <commentList>
    <comment ref="B55" authorId="0" shapeId="0" xr:uid="{18DE1A51-1483-411E-A5BE-2B3A44A7BCF9}">
      <text>
        <t>[Threaded comment]
Your version of Excel allows you to read this threaded comment; however, any edits to it will get removed if the file is opened in a newer version of Excel. Learn more: https://go.microsoft.com/fwlink/?linkid=870924
Comment:
    Nova missão incluída a partir de convite recebido. Intenção da SIA é participar de forma virtual.</t>
      </text>
    </comment>
    <comment ref="B94" authorId="1" shapeId="0" xr:uid="{654D818D-14D3-4EBB-9BDE-F92931CA76A8}">
      <text>
        <t>[Threaded comment]
Your version of Excel allows you to read this threaded comment; however, any edits to it will get removed if the file is opened in a newer version of Excel. Learn more: https://go.microsoft.com/fwlink/?linkid=870924
Comment:
    A missão de maio será virtual e a presencial passou para 01/12/2025</t>
      </text>
    </comment>
    <comment ref="A286" authorId="2" shapeId="0" xr:uid="{FA9F51FD-0ECD-4994-A7AF-7FA1BB164651}">
      <text>
        <t>[Threaded comment]
Your version of Excel allows you to read this threaded comment; however, any edits to it will get removed if the file is opened in a newer version of Excel. Learn more: https://go.microsoft.com/fwlink/?linkid=870924
Comment:
    Foi acrescentada mais uma PCDP por solicitação do Gabão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tc={D2C0C209-2ECA-4320-B57E-C3D10BE9128C}</author>
    <author>tc={A5FE152D-637C-48CD-B655-000D80B63BC0}</author>
  </authors>
  <commentList>
    <comment ref="B3" authorId="0" shapeId="0" xr:uid="{D2C0C209-2ECA-4320-B57E-C3D10BE9128C}">
      <text>
        <t>[Threaded comment]
Your version of Excel allows you to read this threaded comment; however, any edits to it will get removed if the file is opened in a newer version of Excel. Learn more: https://go.microsoft.com/fwlink/?linkid=870924
Comment:
    Incluso Buffer R$500 mil</t>
      </text>
    </comment>
    <comment ref="C3" authorId="1" shapeId="0" xr:uid="{A5FE152D-637C-48CD-B655-000D80B63BC0}">
      <text>
        <t>[Threaded comment]
Your version of Excel allows you to read this threaded comment; however, any edits to it will get removed if the file is opened in a newer version of Excel. Learn more: https://go.microsoft.com/fwlink/?linkid=870924
Comment:
    Incluso Assembleia R$200 mil</t>
      </text>
    </comment>
  </commentList>
</comments>
</file>

<file path=xl/sharedStrings.xml><?xml version="1.0" encoding="utf-8"?>
<sst xmlns="http://schemas.openxmlformats.org/spreadsheetml/2006/main" count="11079" uniqueCount="3147">
  <si>
    <t>Objetivos Fundamentais</t>
  </si>
  <si>
    <t>Indicadores / Atributos</t>
  </si>
  <si>
    <t>Descrição</t>
  </si>
  <si>
    <t>Pontuações</t>
  </si>
  <si>
    <t>Aumentar o nível de eficiência regulatória do setor (contribui para o desenvolvimento sustentável da aviação civil)</t>
  </si>
  <si>
    <t>Impacto no Mercado</t>
  </si>
  <si>
    <t>A ANAC deve buscar, sempre que possível, a equivalência às normas e às melhores práticas internacionais com vistas a reduzir custos regulatórios para a Agência e para o setor e aumentar o acesso ao mercado de aviação civil, mantendo sempre a preocupação com a segurança operacional. Por meio deste indicador, busca-se avaliar o impacto da participação na missão para ampliação do mercado e/ou para redução de barreiras técnicas, estruturais, burocráticas ou econômicas do setor, mediante celebração de acordos, elaboração de requisitos ou adoção de melhores práticas.</t>
  </si>
  <si>
    <t>A realização da missão contribui diretamente para a ampliação da oferta de serviços aéreos e da infraestrutura brasileira, bem como para a promoção de um ambiente favorável aos negócios no setor pela redução de barreiras técnicas ou das dificuldades estruturais, burocráticas ou econômicas (i.e. celebração de acordos de reconhecimento mútuo ou negociação de serviços aéreos).</t>
  </si>
  <si>
    <t>A realização da missão busca a equivalência das normas por meio da elaboração de um requisito/recomendação internacional.</t>
  </si>
  <si>
    <t xml:space="preserve">A realização da missão busca o conhecimento das melhores práticas do setor junto à indústria com vistas a uma atuação regulatória mais colaborativa ou responsiva. </t>
  </si>
  <si>
    <t>A realização da missão busca a equivalência das normas ou melhores práticas por meio de ação de cooperação entre autoridades / Estados envolvidos.</t>
  </si>
  <si>
    <t>A realização da missão não contribui para o processo de normatização da Agência.</t>
  </si>
  <si>
    <t>Relevância Temática</t>
  </si>
  <si>
    <t>A ANAC deve buscar a participação em fóruns que abordam temas estratégicos para a Agência e para o setor de aviação civil mundial e/ou que sejam vanguardistas/inovadores. Por meio deste indicador, busca-se avaliar a relevância temática discutida na missão.</t>
  </si>
  <si>
    <t>Um dos temas discutidos na missão trata de resolução de problema grave e vigente de segurança operacional, segurança contra atos de interferência ilícita, competitividade ou saúde pública ou de adoção de obrigação de alto impacto para o setor.</t>
  </si>
  <si>
    <t>Um dos temas discutidos na missão é inovador para o setor de aviação civil.</t>
  </si>
  <si>
    <t>Um dos temas discutidos na missão está presente na agenda regulatória em vigor.</t>
  </si>
  <si>
    <t>Um dos temas discutidos na missão está presente nos objetivos setoriais ou da atuação internacional da Agência e não consta na agenda regulatória.</t>
  </si>
  <si>
    <t>Os temas discutidos na missão não estão englobados em nenhuma das opções acima.</t>
  </si>
  <si>
    <t>Fortalecer a Agência como referência internacional  (favorece o desenvolvimento da indústria nacional e do transporte aéreo na região)</t>
  </si>
  <si>
    <t>Tipo de Atuação</t>
  </si>
  <si>
    <t>Como um dos meios para aumentar o reconhecimento internacional e a capacidade de influência nos assuntos relacionados à aviação civil mundial, a ANAC deve buscar desempenhar um papel proativo e de liderança nos fóruns internacionais. Por meio deste indicador, busca-se avaliar o tipo de atuação do representante da ANAC na missão.</t>
  </si>
  <si>
    <t>O representante da Agência tem função de relatoria, coordenação ou auditoria na missão.</t>
  </si>
  <si>
    <t>O representante da Agência é membro oficial e responsável pela apresentação ou produção de material de relevância central para a missão.</t>
  </si>
  <si>
    <t>O representante da Agência será palestrante na missão.</t>
  </si>
  <si>
    <t>O representante da Agência é membro oficial, mas não será responsável por nenhuma apresentação ou produção de material de relevância central para a missão.</t>
  </si>
  <si>
    <t>O representante da Agência tem função de observador na missão (i.e. seminários, palestras, workshops, etc.).</t>
  </si>
  <si>
    <t>Tipo de Fórum</t>
  </si>
  <si>
    <t>Como um dos meios para aumentar o reconhecimento internacional e a capacidade de influência nos assuntos relacionados à aviação civil mundial, a ANAC deve buscar a participação de seus representantes em fóruns decisores. Por meio deste indicador, busca-se avaliar o tipo de fórum relacionado à missão.</t>
  </si>
  <si>
    <t>Missões de alto nível com participantes de função executiva com capacidade decisória para contribuição e registro do posicionamento brasileiro.</t>
  </si>
  <si>
    <t>Missões com participantes de nível técnico com capacidade de influenciar discussões e processos de elaboração de normas ou práticas recomendadas.</t>
  </si>
  <si>
    <t>Missões de alto nível com participantes de função executiva para compartilhamento de experiências e melhores práticas.</t>
  </si>
  <si>
    <t>Missões com participantes de nível técnico para acompanhamento de práticas desenvolvidas pela indústria e pelo mercado.</t>
  </si>
  <si>
    <t>Missões que tratam de discussões para nivelamento de conhecimento e informação, não gerando requisitos normativos para ANAC (monitoramento técnico).</t>
  </si>
  <si>
    <t>AGENDA PRIORITÁRIA INTERNACIONAL 2025</t>
  </si>
  <si>
    <t>INFORMAÇÕES SOBRE OS FÓRUNS</t>
  </si>
  <si>
    <t>METODOLOGIA DE PRIORIZAÇÃO</t>
  </si>
  <si>
    <t>PARÂMETROS FINANCEIROS</t>
  </si>
  <si>
    <t>PLANEJAMENTO FINANCEIRO
SOLICITADO</t>
  </si>
  <si>
    <t>PLANEJAMENTO FINANCEIRO
REVISADO</t>
  </si>
  <si>
    <t>EXECUÇÃO FINANCEIRA (GASTO)</t>
  </si>
  <si>
    <t>OUTRAS INFORMAÇÕES</t>
  </si>
  <si>
    <t>Peso</t>
  </si>
  <si>
    <t>ORGANISMO</t>
  </si>
  <si>
    <t>MISSÃO</t>
  </si>
  <si>
    <t>SESSÃO</t>
  </si>
  <si>
    <t>CÓDIGO PAI</t>
  </si>
  <si>
    <t>UDVD</t>
  </si>
  <si>
    <t>MACROTEMA</t>
  </si>
  <si>
    <t>COMENTÁRIOS</t>
  </si>
  <si>
    <t>DESTAQUE</t>
  </si>
  <si>
    <t>STATUS</t>
  </si>
  <si>
    <t>PRIORIDADE SOLICITADA</t>
  </si>
  <si>
    <t>QTDE PCDPs SOLICITADA</t>
  </si>
  <si>
    <t>PRIORIDADE REVISADA</t>
  </si>
  <si>
    <t>QTDE PCPDs REVISADA</t>
  </si>
  <si>
    <t>A+</t>
  </si>
  <si>
    <t>PCDP REVISADA A+</t>
  </si>
  <si>
    <t>PREVISÃO</t>
  </si>
  <si>
    <t>QTDE PCDPs EMITIDAS</t>
  </si>
  <si>
    <t>FORMATO REUNIÃO</t>
  </si>
  <si>
    <t>DIAS EVENTO</t>
  </si>
  <si>
    <t>PAÍS</t>
  </si>
  <si>
    <t>Cidade</t>
  </si>
  <si>
    <t>AMÉRICA LATINA?</t>
  </si>
  <si>
    <t>Início evento</t>
  </si>
  <si>
    <t>Fim evento</t>
  </si>
  <si>
    <t>Início 2025</t>
  </si>
  <si>
    <t>TIPO FÓRUM</t>
  </si>
  <si>
    <t>PRINCIPAIS OBJETIVOS</t>
  </si>
  <si>
    <t>ATUAÇÃO REPRESENTANTE</t>
  </si>
  <si>
    <t>OKRs RELACIONADOS</t>
  </si>
  <si>
    <t>OKRs RELACIONADOS1</t>
  </si>
  <si>
    <t>OKRs RELACIONADOS2</t>
  </si>
  <si>
    <t>PONTUAÇÃO</t>
  </si>
  <si>
    <t>1) IMPACTO NO MERCADO</t>
  </si>
  <si>
    <t>DETALHE 1</t>
  </si>
  <si>
    <t>2) RELEVÂNCIA TEMÁTICA</t>
  </si>
  <si>
    <t>DETALHE 2</t>
  </si>
  <si>
    <t>3) TIPO DE ATUAÇÃO</t>
  </si>
  <si>
    <t>DETALHE 3</t>
  </si>
  <si>
    <t>4) TIPO DE FÓRUM</t>
  </si>
  <si>
    <t>DETALHE 4</t>
  </si>
  <si>
    <t>COTAÇÃO</t>
  </si>
  <si>
    <t>PASSAGEM</t>
  </si>
  <si>
    <t>DIÁRIA SOLICITADA</t>
  </si>
  <si>
    <t>DIÁRIA REVISADA</t>
  </si>
  <si>
    <t>DIÁRIAS (R$)
SOLICITADO</t>
  </si>
  <si>
    <t>PASSAGEM AÉREA (R$)
SOLICITADO</t>
  </si>
  <si>
    <t>ORÇAMENTO TOTAL (R$)
SOLICITADO</t>
  </si>
  <si>
    <t>DIÁRIAS (R$)
REVISADO</t>
  </si>
  <si>
    <t>PASSAGEM AÉREA (R$)
REVISADO</t>
  </si>
  <si>
    <t>ORÇAMENTO TOTAL (R$)
REVISADO</t>
  </si>
  <si>
    <t>DIÁRIAS (R$) EXECUTADA</t>
  </si>
  <si>
    <t>PASSAGEM AÉREA (R$) EXECUTADA</t>
  </si>
  <si>
    <t>GASTO TOTAL (R$) EXECUTADO</t>
  </si>
  <si>
    <t>SERVIDOR</t>
  </si>
  <si>
    <t>SEI</t>
  </si>
  <si>
    <t>FATOR DESLOCAMENTO</t>
  </si>
  <si>
    <t xml:space="preserve">Gerência </t>
  </si>
  <si>
    <t>Nova Missão?</t>
  </si>
  <si>
    <t>SEI2</t>
  </si>
  <si>
    <t>Tipo de missão ASINT</t>
  </si>
  <si>
    <t>EUROCAE</t>
  </si>
  <si>
    <t>WG-127, Lower-risk Aviation Application - 1st Meeting</t>
  </si>
  <si>
    <t xml:space="preserve">1st Meeting </t>
  </si>
  <si>
    <t>2025PAI23PAER001</t>
  </si>
  <si>
    <t>SAR</t>
  </si>
  <si>
    <t>Produtos Aeronáuticos</t>
  </si>
  <si>
    <t>REALIZADA PASSAGEM ORÇAMENTO 2024</t>
  </si>
  <si>
    <t>A</t>
  </si>
  <si>
    <t>Prevista A</t>
  </si>
  <si>
    <t>Presencial</t>
  </si>
  <si>
    <t>França</t>
  </si>
  <si>
    <t>Toulouse</t>
  </si>
  <si>
    <t>X</t>
  </si>
  <si>
    <t>Working Group / Task Force</t>
  </si>
  <si>
    <t>Desenvolvimento de normas de software para UAS, VTOL, part-23</t>
  </si>
  <si>
    <t>Membro Oficial</t>
  </si>
  <si>
    <t>PAER1.1</t>
  </si>
  <si>
    <t>BENEDITO MASSAYUKI SAKUGAWA</t>
  </si>
  <si>
    <t>00066.015077/2024-03</t>
  </si>
  <si>
    <t>ICAO</t>
  </si>
  <si>
    <t xml:space="preserve">Aerodrome Pavement Experts Group (APEG/9) </t>
  </si>
  <si>
    <t>APEG/9</t>
  </si>
  <si>
    <t>2025PAI01SAFE001</t>
  </si>
  <si>
    <t>SIA</t>
  </si>
  <si>
    <t>Safety-AGA</t>
  </si>
  <si>
    <t>Híbrido. Não está sendo considerada PCDP para esta missão.</t>
  </si>
  <si>
    <t>REALIZADA</t>
  </si>
  <si>
    <t>Virtual</t>
  </si>
  <si>
    <t>Problema nacional de pavimentos em aeroportos. Dentro dos painéis técnicos, prioridade tema pista. RBAC 154 e 153. O APEG (Aerodrome Pavement Experts Group) é o novo nome do PSG (Pavement Sub-Group). A alteração no nome ocorreu em 2016, após 13 reuniões do PSG. Com o nome APEG, já ocorreram 10 reuniões desde então.
O APEG é o grupo de especialistas em pavimentos aeroportuários e reporta ao AOWG (Aerodrome Operations Working Group).
O APEG tem como objetivo:
•	Desenvolver / atualizar as disposições existentes do Anexo 14 Vol I sobre o uso seguro e eficiente de pavimentos aeroportuários;
•	Desenvolver procedimentos no PANS-Aeródromos para o uso seguro e eficiente de pavimentos aeroportuários; e
•	Desenvolver / atualizar orientações (guias, manuais etc) sobre gerenciamento de pavimentos aeroportuários.</t>
  </si>
  <si>
    <t>SAGA2.1-Atuar para que SARPs relacionadas a aeródromos aprovadas pela OACI sejam proporcionais ao risco e à complexidade das operações, sem onerar excessivamente aeródromos</t>
  </si>
  <si>
    <t>Problema de pavimento aeroportuário. RBAC 154 e 153</t>
  </si>
  <si>
    <t>Lucius de Albuquerque Prado (Membro Oficial)
e
Sergio Ricardo Santilli (Advisor)</t>
  </si>
  <si>
    <t>ASTM</t>
  </si>
  <si>
    <t>F-37 Light Sport Aircraft Committee Week - 1st Meeting</t>
  </si>
  <si>
    <t>F</t>
  </si>
  <si>
    <t>2025PAI18PAER001</t>
  </si>
  <si>
    <t>EUA</t>
  </si>
  <si>
    <t>Forth Worth</t>
  </si>
  <si>
    <t xml:space="preserve">Reunião Técnica </t>
  </si>
  <si>
    <t>Fórum FAA industria. Elaboradas normas de cumprimento para ALE. Principal fórum internacional que trata do ALE.</t>
  </si>
  <si>
    <t>PAER3.4</t>
  </si>
  <si>
    <t>ALE</t>
  </si>
  <si>
    <t>Membro do steering committee</t>
  </si>
  <si>
    <t>Influencia as discussões</t>
  </si>
  <si>
    <t>KLEBER DANIEL JESUINO</t>
  </si>
  <si>
    <t>00066.015075/2024-14</t>
  </si>
  <si>
    <t>Aviation Security Panel (AVSECP) Working Group on Training (WGT) - 1st Meeting</t>
  </si>
  <si>
    <t>AVSECP WGT</t>
  </si>
  <si>
    <t>2025PAI01SECU001</t>
  </si>
  <si>
    <t>Security</t>
  </si>
  <si>
    <t>Reunião do Working Group on Training, ocorrerá em janeiro de 2025. SIA (Tárik) participará como Rapporteur e SPL como membro.</t>
  </si>
  <si>
    <t>Participação somente SPL em 2024. Tarik é relator.</t>
  </si>
  <si>
    <t>África do Sul</t>
  </si>
  <si>
    <t>Cidade do Cabo</t>
  </si>
  <si>
    <t xml:space="preserve">Revisão e proposição de SARPs e material de orientação relativo à treinamento e certificação de AVSEC. Elaboração de estratégia global de treinamento em AVSEC. Tárik atua como Rapporteur do WGT.
</t>
  </si>
  <si>
    <t>Rapporteur</t>
  </si>
  <si>
    <t>Relator do grupo</t>
  </si>
  <si>
    <t>Tárik Pereira de Souza</t>
  </si>
  <si>
    <t>00066.014636/2024-50</t>
  </si>
  <si>
    <t>Air Transport Regulation Panel (ATRP) WG3</t>
  </si>
  <si>
    <t>ATRP WG4</t>
  </si>
  <si>
    <t>2025PAI01ECON001</t>
  </si>
  <si>
    <t>SAS</t>
  </si>
  <si>
    <t>Regulação Econômica</t>
  </si>
  <si>
    <t>Rapporteur. Desenvolvimento e entrega de materiais.</t>
  </si>
  <si>
    <t>Catar</t>
  </si>
  <si>
    <t>Doha</t>
  </si>
  <si>
    <t>Enfrentamento de barreiras, liberalização de mercado. Discussões relacionadas à necessidade de regulação econômica e eventuais padronizações internacionais para o novo segmento de aeronaves não tripuladas ( eVTOL)</t>
  </si>
  <si>
    <t>KR ECON2.4</t>
  </si>
  <si>
    <t>Inovação</t>
  </si>
  <si>
    <t>ROBERTO DA ROSA COSTA</t>
  </si>
  <si>
    <t>00066.014772/2024-40</t>
  </si>
  <si>
    <t>1st Meeting 2025</t>
  </si>
  <si>
    <t>SPL</t>
  </si>
  <si>
    <t>Tarik rappourter. Alexandre é membro específico.</t>
  </si>
  <si>
    <t>B</t>
  </si>
  <si>
    <t>Prevista B</t>
  </si>
  <si>
    <t>Material de orientação ao mercado. Produção DOC. Grupo fechado com poder de decisão forte em security, interpretação anexo 17.</t>
  </si>
  <si>
    <t>ALEXANDRE VIANNA</t>
  </si>
  <si>
    <t>SPL/CIAS</t>
  </si>
  <si>
    <t>FAA / EASA</t>
  </si>
  <si>
    <t>COB Hydrogen Technologies - 1st Meeting</t>
  </si>
  <si>
    <t>2025PAI08PAER001</t>
  </si>
  <si>
    <t>Nova missão</t>
  </si>
  <si>
    <t>Burlington</t>
  </si>
  <si>
    <t xml:space="preserve">Fórum da EASA e FAA sobre propulsão a hidrogênio. </t>
  </si>
  <si>
    <t>Inovação tecnológica: Hidrogenio</t>
  </si>
  <si>
    <t>RODRIGO HIRAYAMA</t>
  </si>
  <si>
    <t>00066.014935/2024-94</t>
  </si>
  <si>
    <t>Bilateral</t>
  </si>
  <si>
    <t>DGAC Paraguai Meeting</t>
  </si>
  <si>
    <t>2025PAI06ECON001</t>
  </si>
  <si>
    <t>SGM (ASINT)</t>
  </si>
  <si>
    <t>Paraguai</t>
  </si>
  <si>
    <t>Assunção</t>
  </si>
  <si>
    <t>Reunião Alto Nível</t>
  </si>
  <si>
    <t>MARCELO CARNEIRO</t>
  </si>
  <si>
    <t>00066.015000/2024-25</t>
  </si>
  <si>
    <t>DIRETORIA</t>
  </si>
  <si>
    <t>DIRETOR PRESIDENTE</t>
  </si>
  <si>
    <t xml:space="preserve">Aviation Security Panel (AVSECP) Working Group on Guidance Material (WGGM) </t>
  </si>
  <si>
    <t>2025PAI01SECU002</t>
  </si>
  <si>
    <t xml:space="preserve">Priorizado como B em 2024. </t>
  </si>
  <si>
    <t>Giovano irá confirmar se SIA participará</t>
  </si>
  <si>
    <t>Suíça</t>
  </si>
  <si>
    <t>Zermatt</t>
  </si>
  <si>
    <t xml:space="preserve">Material de orientação ao mercado. Produção DOC. Grupo fechado com poder de decisão forte em security, interpretação anexo 17. Os temas mais recentes foram relacionados com orientação acerca de equipamentos de inspeção de segurança, procedimentos para compartilhamento de informações restritas entre Estados e proteção da infraestrutura da aviação civil contra ataques com utilização de aeronaves não tripuladas. </t>
  </si>
  <si>
    <t>São discutidos temas inovadores na área AVSEC em geral, como segurança de aeroportos de menor porte e métodos possíveis de inspeção de pessoas e objetos.</t>
  </si>
  <si>
    <t>Luiz Gustavo Silva Cavallari</t>
  </si>
  <si>
    <t>00066.014970/2024-11</t>
  </si>
  <si>
    <t>Flight Operations Panel (FLTOPSP/11)</t>
  </si>
  <si>
    <t>FLTOPSP/11</t>
  </si>
  <si>
    <t>2025PAI01SAFE002</t>
  </si>
  <si>
    <t>SPO</t>
  </si>
  <si>
    <t>Safety-OPS</t>
  </si>
  <si>
    <t>Canadá</t>
  </si>
  <si>
    <t>Montreal</t>
  </si>
  <si>
    <t>Painel</t>
  </si>
  <si>
    <t>O principal objetivo do fórum é propor e revisar Padrões e Práticas Recomendadas (SARPs) relacionados às operações de voo, visando melhorar a segurança e a eficiência das operações de aviação civil. Também são analisadas questões de segurança operacional, sendo realizadas recomendações de melhorias nas operações de voo e na gestão do risco. A participação do Brasil é fundamental para garantir a harmonização das operações de voo em nível global, promovendo a adoção de práticas uniformes que facilitem a cooperação internacional e a interoperabilidade entre diferentes países e regiões. Também é uma oportunidade para explorar novas tecnologias, métodos e procedimentos que possam melhorar as operações de voo, incluindo a introdução de novas aeronaves e sistemas automatizados.</t>
  </si>
  <si>
    <t>KR SOPS 2.6
(a ser criado)</t>
  </si>
  <si>
    <t>Evtol</t>
  </si>
  <si>
    <t xml:space="preserve">LEANDRO SILVEIRA </t>
  </si>
  <si>
    <t>00066.014870/2024-87</t>
  </si>
  <si>
    <t>GCTA E GTNO/GNOS</t>
  </si>
  <si>
    <t>EDNEI RANTHUM</t>
  </si>
  <si>
    <t>EASA</t>
  </si>
  <si>
    <t>Business Jet Workshop</t>
  </si>
  <si>
    <t>2025PAI07PAER001</t>
  </si>
  <si>
    <t xml:space="preserve">Nova missão </t>
  </si>
  <si>
    <t>Alemanha</t>
  </si>
  <si>
    <t>Colônia</t>
  </si>
  <si>
    <t>Work shop sobre certificação de Business Jet</t>
  </si>
  <si>
    <t>Evento anual cuja participação SAR tem sido recorrente. Objetivo principal da participação é a realização de reuniões bilaterais com diversas autoridades de certificação de produto aeronáutico que costumeiramente atendem ao evento. Como exemplo, o CMT tem realizado reuniões em todas as Safety Conferences nos últimos anos.</t>
  </si>
  <si>
    <t xml:space="preserve">Mario Igawa </t>
  </si>
  <si>
    <t>00066.014842/2024-60</t>
  </si>
  <si>
    <t>WILLER ALVES DA SILVA CRUZ</t>
  </si>
  <si>
    <t>SAE</t>
  </si>
  <si>
    <t>S-18 Aircraft &amp; Systems Development &amp; Safety Assessment Comittee - 1st Meeting</t>
  </si>
  <si>
    <t>2025PAI17PAER001</t>
  </si>
  <si>
    <t>San Diego</t>
  </si>
  <si>
    <t>Grupo de trabalho permanente com autoridades (ANAC, FAA, EASA, TCCA, CAAC) e fabricantes de aeronaves e sistemas aeronáuticos (incluindo Embraer e seus fornecedores). Produz principalmente 2 normas ligadas ao processo de system safety assessment (segurança de sistemas aeronáuticos). É o principal grupo de trabalho que trata da produção de normas para a segurança de sistemas aeronáuticos. ANAC é uma das autoridades que é membro votante do comitê, sendo necesário participação contínua para manutenção desta posição.</t>
  </si>
  <si>
    <t>Grupo trata de normas de safety também para inovações tecnológicas como Inteligênica Artificial.</t>
  </si>
  <si>
    <t>Ultimamente, a ANAC tem sido revisora das propostas de normas, bem como votante para sua aprovação (ou não).</t>
  </si>
  <si>
    <t>FERNANDO MOTTA ASSIS DE LACERDA</t>
  </si>
  <si>
    <t>00066.014941/2024-41</t>
  </si>
  <si>
    <t>ICAO SAM</t>
  </si>
  <si>
    <t>Meeting of Civil Aviation Authorities of the SAM Region (RAAC)</t>
  </si>
  <si>
    <t>RAAC/18</t>
  </si>
  <si>
    <t>2025PAI02ECON001</t>
  </si>
  <si>
    <t>Junto com JG. Mesma PCDP.</t>
  </si>
  <si>
    <t>Brasil</t>
  </si>
  <si>
    <t>São Paulo</t>
  </si>
  <si>
    <t>Superintendente ou Diretoria</t>
  </si>
  <si>
    <t>Global Implementation Support Symposium (GISS)</t>
  </si>
  <si>
    <t>GISS 2025</t>
  </si>
  <si>
    <t>2025PAI01CAPA001</t>
  </si>
  <si>
    <t>Assinatura do MoU com GCAA.</t>
  </si>
  <si>
    <t>EAU</t>
  </si>
  <si>
    <t>Abu Dhabi</t>
  </si>
  <si>
    <t>PAER 2.11</t>
  </si>
  <si>
    <t>ROBERTO HONORATO</t>
  </si>
  <si>
    <t>SGP</t>
  </si>
  <si>
    <t>Capacitação e Treinamento</t>
  </si>
  <si>
    <t>CANCELADA</t>
  </si>
  <si>
    <t xml:space="preserve">Seminário </t>
  </si>
  <si>
    <t>A partir de 2023 será sempre evento conjunto GACS (cooperação técnica) e o Global TRAINAIR Symposium + Reunião TPSC, que os antecede. GACS ainda ganhando tração por ser evento com status global mais recente dentre os eventos OACI. Sinergias e painel que trata do NGAP (Next Generation of Aviation Professionals), um tema que compete mais à SAC do que à ANAC, por se tratar de uma política pública. Entretanto, nosso papel pode ser maior e a SAC já comprou a ideia de atuar mais ativamente nesse sentido, algo previsto para ser iniciado a partir deste ano. Intenção de internacionalizar ainda mais a atuação da SGP e a possibilidade futura de um PCTI na ANAC. Visão de alto nível sobre iniciativas OACI em treinamento, cooperação e tendências, inseridas num processo de aviation recovery.</t>
  </si>
  <si>
    <t>CAPA2.5</t>
  </si>
  <si>
    <t>Melhores práticas</t>
  </si>
  <si>
    <t>Vice presidencia</t>
  </si>
  <si>
    <t>MARIANA DALCANALE</t>
  </si>
  <si>
    <t>00066.014862/2024-31</t>
  </si>
  <si>
    <t>SGM (GMAT)</t>
  </si>
  <si>
    <t>Meio Ambiente</t>
  </si>
  <si>
    <t>Convite para palestrar</t>
  </si>
  <si>
    <t>MARCELA BRAGA ANSELMI</t>
  </si>
  <si>
    <t>Global</t>
  </si>
  <si>
    <t>10 a 12 de Fevereiro de 2025</t>
  </si>
  <si>
    <t>DIRETOR MCA</t>
  </si>
  <si>
    <t xml:space="preserve">International Logistics Constraints (ILC) </t>
  </si>
  <si>
    <t>ILC</t>
  </si>
  <si>
    <t>2025PAI01ECON002</t>
  </si>
  <si>
    <t xml:space="preserve">Não aconteceu em 2024. </t>
  </si>
  <si>
    <t>Bloco C</t>
  </si>
  <si>
    <t>Transporte comércio entre países. Logística ecomerce global. Início dos trabalhos. Pretende-se entender as discussões e construir uma base de dados de carga, a GEAC (ANAC) realizou uma apresentação em Cingapura (2023), sobre tarifas, dados estatísticos, etc. Para o próximo evento, houve um convite informal de apresentação (case Brasil)</t>
  </si>
  <si>
    <t>ECON4</t>
  </si>
  <si>
    <t>[desenvolver metodologias]</t>
  </si>
  <si>
    <t>MARCO PORTO</t>
  </si>
  <si>
    <t>SRVSOP</t>
  </si>
  <si>
    <t>AQP Activity Technical Cooperaction</t>
  </si>
  <si>
    <t>2025PAI04CTEC001</t>
  </si>
  <si>
    <t>Cooperação Técnica</t>
  </si>
  <si>
    <t>Custeada pelo SRVSOP - RLA/99/901</t>
  </si>
  <si>
    <t>Peru</t>
  </si>
  <si>
    <t>Lima</t>
  </si>
  <si>
    <t>Célio Eugênio de Abreu Júnior</t>
  </si>
  <si>
    <t>00066.013947/2024-00</t>
  </si>
  <si>
    <t>00058.046945/2024-98</t>
  </si>
  <si>
    <t>Solicitud de liberación del experto Raphael Horta para misión en Chile</t>
  </si>
  <si>
    <t>2025PAI02CTEC001</t>
  </si>
  <si>
    <t>Diárias e passagens pagas pela ICAO SAM. Necessário apenas seguro viagem.</t>
  </si>
  <si>
    <t>Não prevista</t>
  </si>
  <si>
    <t>Chile</t>
  </si>
  <si>
    <t>Santiago</t>
  </si>
  <si>
    <t xml:space="preserve">Cooperação Técnica </t>
  </si>
  <si>
    <t>RAPHAEL MELLO HORTA</t>
  </si>
  <si>
    <t>00066.000467/2025-51</t>
  </si>
  <si>
    <t>GAB</t>
  </si>
  <si>
    <t>Convidado a ser palestrante. Custos cobertos pelos organizadores.</t>
  </si>
  <si>
    <t xml:space="preserve">REALIZADA  </t>
  </si>
  <si>
    <t>PCDP não prevista</t>
  </si>
  <si>
    <t>Seminário</t>
  </si>
  <si>
    <t>ANA SANTOS DE SÁ E BENEVIDES</t>
  </si>
  <si>
    <t>DIR-TP</t>
  </si>
  <si>
    <t>TIAGO SOUSA PEREIRA</t>
  </si>
  <si>
    <t>MARCELO DE SOUZA CARNEIRO LIMA</t>
  </si>
  <si>
    <t>Facilitation Panel (FALP) Working Group on Annex 9 (WGA9)</t>
  </si>
  <si>
    <t>WGA9</t>
  </si>
  <si>
    <t>2025PAI01FACI002</t>
  </si>
  <si>
    <t>Facilitação</t>
  </si>
  <si>
    <t>será junto com WGGM</t>
  </si>
  <si>
    <t>Cingapura</t>
  </si>
  <si>
    <t>Revisão do Anexo 09</t>
  </si>
  <si>
    <t>FACI1.1-Implementar o fluxo de informações API/PNR entre países da Europa e o Brasil</t>
  </si>
  <si>
    <t>FACI2.1-Contribuir para a revisão do Anexo 9 da Convenção de Chicago e do Doc 9957 – The Facilitation Manual, com vistas a incluir as melhores práticas brasileiras</t>
  </si>
  <si>
    <t>Temas inovadores afetos à protocolos sanitários e documentos eletrônicos de viagem.</t>
  </si>
  <si>
    <t>Diana Helena Ferreira</t>
  </si>
  <si>
    <t>00066.015418/2024-32</t>
  </si>
  <si>
    <t xml:space="preserve">Facilitation Panel (FALP) Working Group on Guidance Material (WGGM) </t>
  </si>
  <si>
    <t>WGGM</t>
  </si>
  <si>
    <t>2025PAI01FACI003</t>
  </si>
  <si>
    <t>será junto com WGA9</t>
  </si>
  <si>
    <t>Revisão do DOC 9957 – Manual de Facilitação. 
Apresentação de um WP com relação às atualizações sobre o trabalho do WGGM, bem como a emenda acordada para os Capítulos 1 e 2 no FALP 12. 
Continuidade dos trabalhos para os capítulos restantes (Capítulo 4 ao Capítulo 9) do DOC 9957, visto que outras reuniões poderão ser realizadas nos próximos meses e suas considerações poderão ser apresentadas no FALP13, em 2022.</t>
  </si>
  <si>
    <t xml:space="preserve">Temas inovadores como procedimentos para resposta em saúde pública, desinfecção de aeronaves e conteúdo de informações nos passaportes. </t>
  </si>
  <si>
    <t>ALTA</t>
  </si>
  <si>
    <t>Aviation Safety, Flight Ops &amp; Training Summit</t>
  </si>
  <si>
    <t>2025PAI15SAFE001</t>
  </si>
  <si>
    <t>ASSOP</t>
  </si>
  <si>
    <t>Safety</t>
  </si>
  <si>
    <t>AUTORIZADA</t>
  </si>
  <si>
    <t>México</t>
  </si>
  <si>
    <t>Cidade do México</t>
  </si>
  <si>
    <t>O summit da ALTA é o evento regional mais relevante de segurança operacional no ano. A Cúpula Pan-Americana de Segurança da Aviação concentra-se na análise das tendências de segurança e no desenvolvimento de soluções que são fundamentais para o futuro do setor de aviação, especificamente na região da América do Sul. As ações colaborativas resultantes de conversas importantes, seminários e reuniões do comitê de segurança com profissionais influentes do setor sobre preocupações mútuas e questões emergentes contribuem significativamente para a melhoria da segurança da aviação na região.</t>
  </si>
  <si>
    <t xml:space="preserve">Observador </t>
  </si>
  <si>
    <t>SAFE1
SAFE2</t>
  </si>
  <si>
    <t>Palestrante?</t>
  </si>
  <si>
    <t>Chefe ASSOP</t>
  </si>
  <si>
    <t>Bernardo Tomaz de Castro</t>
  </si>
  <si>
    <t>00066.005643/2025-41</t>
  </si>
  <si>
    <t>Committee on Aviation Environmental Protection (CAEP) 13th Meeting</t>
  </si>
  <si>
    <t>Committee</t>
  </si>
  <si>
    <t>2025PAI01AMBI001</t>
  </si>
  <si>
    <t>1 semana combustíveis + 1 semana tecnologia</t>
  </si>
  <si>
    <t>Reunião de ciclo (trienal). Estudos técnicos relacionados às questões ambientais da aviação, incluindo ruído, poluentes e mudança climática. Abrange aspectos relacionados à certificação de aervonaves e motores, emissões associadas aos operadores aéreos e ao uso de combustíveis sustentáveis de aviação.</t>
  </si>
  <si>
    <t>AMBI1, AMBI3, AMBI4, AMBI5</t>
  </si>
  <si>
    <t>Encaminhamentos da A41</t>
  </si>
  <si>
    <t>Possiveis discussões sobre implementação de meta de longo prazo de emissões</t>
  </si>
  <si>
    <t>DANIEL MARCELLOS CALCADO &amp; DARLAN SILVA DOS SANTOS</t>
  </si>
  <si>
    <t>CAEP/13</t>
  </si>
  <si>
    <t>2 semanas</t>
  </si>
  <si>
    <t>00066.014774/2024-39</t>
  </si>
  <si>
    <t>RICARDO ANTONIO BINOTTO DUPONT</t>
  </si>
  <si>
    <t xml:space="preserve">Working Group on Cyber Threat and Risk (WGCTR/9) of Cybersecurity Panel (CYSECP) </t>
  </si>
  <si>
    <t>WGCTR/9</t>
  </si>
  <si>
    <t>2025PAI01SECU003</t>
  </si>
  <si>
    <t>Tentar fazer 1 reunião no Brasil. Reunião de WGCTR e WGCGM costumam ocorrer juntas. Mesma PCDP, sendo dois dias para cada grupo.</t>
  </si>
  <si>
    <t>Colaborador eventual</t>
  </si>
  <si>
    <t>Trabalho de desenvolvimento de material orientativo para os Estados Membros, com participação conjunta com o DECEA</t>
  </si>
  <si>
    <t>SECU5.1-Liderar as propostas e discussões sobre a temática de segurança cibernética no Brasil</t>
  </si>
  <si>
    <t xml:space="preserve">Rafael Rodrigues Dias Pereira </t>
  </si>
  <si>
    <t>WERLLEN LAUTON ANDRADE</t>
  </si>
  <si>
    <t>SYLVIO JOSE COELHO DE SOUZA</t>
  </si>
  <si>
    <t>Working Group on Cybersecurity Guindance Material (WGCGM/9) of Cybersecurity Panel (CYSECP)</t>
  </si>
  <si>
    <t>WGCGM/9</t>
  </si>
  <si>
    <t>2025PAI01SECU004</t>
  </si>
  <si>
    <t>Mesma PCDP WGCTR. Tentar fazer 1 reunião no Brasil. Reunião de WGCTR e WGCGM costumam ocorrer juntas. Mesma PCDP, sendo dois dias para cada grupo.</t>
  </si>
  <si>
    <t>RAFAEL RODRIGUES DIAS PEREIRA</t>
  </si>
  <si>
    <t>ROSEMBERG ANDRE DA SILVA</t>
  </si>
  <si>
    <t>Air Transport Regulation Panel (ATRP) WG4</t>
  </si>
  <si>
    <t>2025PAI01ECON003</t>
  </si>
  <si>
    <t>Preparação Conferencia de Transporte Aérea 2026. Indicação recomendação ATRP para agenda Conferência.</t>
  </si>
  <si>
    <t>Áustria</t>
  </si>
  <si>
    <t>Viena</t>
  </si>
  <si>
    <t xml:space="preserve">Template acordos serviços aéreos. Agenda transporte aéreo 7 em 2026. Acompanhamento de mercado de transporte aéreo. Melhores práticas. Discussão de acordo sobre propriedade e controle de empresas aéreas, 7ª Liberdade de para voos de carga, Avaliação da necessidade de regulação econômica da operação internacionais de UAS,  e avaliação de diretrizes para atuação em situações de crise e implementação das decisões da 41ª Sessão da Assembleia da OACI para temas de regulação econômica do transporte aéreo. </t>
  </si>
  <si>
    <t>ECON2 e ECON3</t>
  </si>
  <si>
    <t>Abertura direta de mercado. Capital estrangeiro. Destrave de investimento. Liberalização da 7ª liberdade de Carga. Inovação (discussão sobre a regulação econômica da operação internacional de UAS). Atuação em situações de crises internacionais.</t>
  </si>
  <si>
    <t>Trabalho sobre texto apresentado</t>
  </si>
  <si>
    <t>ROQUE FELIZARDO DA SILVA NETO</t>
  </si>
  <si>
    <t>00066.014961/2024-12</t>
  </si>
  <si>
    <t>IATA</t>
  </si>
  <si>
    <t>World Legal Symposium (WLS)</t>
  </si>
  <si>
    <t>WLS 2025</t>
  </si>
  <si>
    <t>2025PAI14DINT001</t>
  </si>
  <si>
    <t>DIR-MA</t>
  </si>
  <si>
    <t>Direito Aeronáutico</t>
  </si>
  <si>
    <t>China</t>
  </si>
  <si>
    <t>Xangai</t>
  </si>
  <si>
    <t>Fórum indústria</t>
  </si>
  <si>
    <t>RICARDO CATANANT</t>
  </si>
  <si>
    <t>00066.014798/2024-98</t>
  </si>
  <si>
    <t>PROCURADORIA</t>
  </si>
  <si>
    <t>ALICE SERPA</t>
  </si>
  <si>
    <t>2025PAI02CTEC002</t>
  </si>
  <si>
    <t>Custeio de 2 colaboradores eventuais da ICAO SAM</t>
  </si>
  <si>
    <t>Marcelo Javier Puente</t>
  </si>
  <si>
    <t>00058.005775/2025-72</t>
  </si>
  <si>
    <t>Marisa Paez Martinez</t>
  </si>
  <si>
    <t>Solicitud de Apoyo con Recursos Humanos para actividad multinacional – Renovación de
la organización de mantenimiento SAE de Bolivia</t>
  </si>
  <si>
    <t>2025PAI04CTEC002</t>
  </si>
  <si>
    <t>Bolívia</t>
  </si>
  <si>
    <t>Cochabamba</t>
  </si>
  <si>
    <t>MARCELO DE LACERDA COSTA</t>
  </si>
  <si>
    <t>00058.107234/2024-05</t>
  </si>
  <si>
    <t>BOEING</t>
  </si>
  <si>
    <t>Boeing Aviation Safety Conference</t>
  </si>
  <si>
    <t>2025PAI20SAFE001</t>
  </si>
  <si>
    <t>Palestrante. ANAC custeará somente meia diária</t>
  </si>
  <si>
    <t>Boca Raton</t>
  </si>
  <si>
    <t>00066.014900/2024-55</t>
  </si>
  <si>
    <t>CMT</t>
  </si>
  <si>
    <t>CPR Changed Product Rule - International Authorities WG (IAWG) - 1st Meeting</t>
  </si>
  <si>
    <t>2025PAI34PAER002</t>
  </si>
  <si>
    <t>NÃO REALIZADA</t>
  </si>
  <si>
    <t>Japão</t>
  </si>
  <si>
    <t>Discussão de normas que o novo modelo deve cumprir, se recente ou antiga. Discutido imposição de regulamento mais recente (exemplo 737 Max vs 737). Novo modelo que deriva do anterior. Quais regras impõe o requisito mais recente. Nova norma que melhora segurança.</t>
  </si>
  <si>
    <t>PAER1.2</t>
  </si>
  <si>
    <t>Fórum de revisão da norma</t>
  </si>
  <si>
    <t>Grupo criado devido ao problema do 737 Max. Imposição congresso americano para criação do grupo. Obrigação de alto impacto para o setor.</t>
  </si>
  <si>
    <t xml:space="preserve">DANIEL PESSOA MARTINS CUNHA
Joao Alfredo Castellani Fajardo Freire
</t>
  </si>
  <si>
    <t>Airport Economics Panel &amp; Air Navigation Services Economics Panel  (AEP-ANSEP/10)</t>
  </si>
  <si>
    <t>AEP/ANSEP/10</t>
  </si>
  <si>
    <t>2025PAI01ECON004</t>
  </si>
  <si>
    <t>SRA</t>
  </si>
  <si>
    <t>Representação Institucional</t>
  </si>
  <si>
    <t>Participação no Décimo Encontro do Painel Conjunto de Economia de Aeroportos e de Serviços de Navegação Aérea (AEP-ANSEP/10) da Organização Internacional da Aviação Civil.</t>
  </si>
  <si>
    <t>Representante da ANAC no Painel</t>
  </si>
  <si>
    <t>KR ECON1.1: Promover melhoria regulatória sobre aeroportos no que diz respeito ao transporte de cargas, conforme melhores práticas internacionais. 
KR ECON1.2: Promover melhoria regulatória da ANAC sobre tarifas aeroportuárias, conforme melhores práticas internacionais</t>
  </si>
  <si>
    <t>FREDERICO ALVES SILVA RIBEIRO</t>
  </si>
  <si>
    <t>00058.103194/2024-14</t>
  </si>
  <si>
    <t>Dronesquad - Transferability - 2025 1st Meeting</t>
  </si>
  <si>
    <t>1st Meeting</t>
  </si>
  <si>
    <t>2025PAI34PAER001</t>
  </si>
  <si>
    <t>Washington</t>
  </si>
  <si>
    <t>Estudo de formas de validação (transferability) de aprovações de UAS feito pelas autoridades ANAC, FAA, EASA e TCCA .</t>
  </si>
  <si>
    <t>SAFE5.7</t>
  </si>
  <si>
    <t xml:space="preserve">RUI CARLOS JOSINO ALEXANDRE  </t>
  </si>
  <si>
    <t>00066.015312/2024-39</t>
  </si>
  <si>
    <t>Commission of Experts of the Supervisory Authority of The International Registry (CESAIR)</t>
  </si>
  <si>
    <t>11th neeting</t>
  </si>
  <si>
    <t>2025PAI01PAER001</t>
  </si>
  <si>
    <t>Reunião de revisão dos Procedimentos do Registro Internacional, cujos membros do CESAIR tem obrigação de participação e contribuição nos trabalhos</t>
  </si>
  <si>
    <t>LUCIANA FERREIRA VIEIRA</t>
  </si>
  <si>
    <t>00066.015192/2024-70</t>
  </si>
  <si>
    <t>Technical Advisory Group on the Traveller Identification Programme (TAG/TRIP/5)</t>
  </si>
  <si>
    <t>Technical</t>
  </si>
  <si>
    <t>Previsto para ser realizado 3 e 4 de março em Montreal</t>
  </si>
  <si>
    <t>SIA/GSAC. Documento de viagem está na agenda regulatória. Assunto impacto grande, demanda criação de corpo técnico da ANAC, assunto em constante mudança, tecnologias e diferenças entre os países.</t>
  </si>
  <si>
    <t xml:space="preserve">Tema API/PNR </t>
  </si>
  <si>
    <t>Werllen Lauton Andrade</t>
  </si>
  <si>
    <t>True North Advisory Group (TRUE-AG)</t>
  </si>
  <si>
    <t>Facilitation Panel (FALP) Working Group on  Assistance to Aircraft Accident Victims and their Families (WG-AAAVF)</t>
  </si>
  <si>
    <t>FALP/14 WGAAAVF</t>
  </si>
  <si>
    <t>2025PAI01FACI004</t>
  </si>
  <si>
    <t>Avaliar data, se será junto com FALP?</t>
  </si>
  <si>
    <t>Acessibilidade</t>
  </si>
  <si>
    <t>FACI4</t>
  </si>
  <si>
    <t>Obrigação de alto impacto para setor. Norma traz custo elevado para empresas aéreas e setor, assunto sensível.</t>
  </si>
  <si>
    <t>YURI CESAR CHERMAN</t>
  </si>
  <si>
    <t>Facilitation Panel (FALP) Working Group on Accessibility in International Civil Aviation (WGAA)</t>
  </si>
  <si>
    <t>FALP/14 WGAA</t>
  </si>
  <si>
    <t>2025PAI01FACI005</t>
  </si>
  <si>
    <t>FACI2</t>
  </si>
  <si>
    <t>Acessibilidade. Revisão da norma agenda regulatória. Fiscalização aumentada. Referência BR. Jornada da juventude, paraolimpíadas, olimpíadas, copa</t>
  </si>
  <si>
    <t>ERICA RAMALHO DE OLIVEIRA</t>
  </si>
  <si>
    <t>FAA</t>
  </si>
  <si>
    <t>ARAC Flight Test Harmonization Working Group (FTHWG) - 1st Meeting</t>
  </si>
  <si>
    <t>2025PAI06PAER001</t>
  </si>
  <si>
    <t>Marseille</t>
  </si>
  <si>
    <t>Principal grupo de trabalho para assuntos de aeronáutica e ensaios em voo. Aviation Rulemaking Advisory Committee (ARAC) para Certicação de tipo. Participação de ANAC, FAA, EASA, TCCA, e 6 fabricantes. Condições especiais resultantes de discussões do grupo. Aplicação imediata para indústria. Envolve revisões do 14CFR/RBAC 25. Visa harmonizar requisitos, ter isonomia de mercado, reduzir barreira burocrática, barreiras validação estrangeira. ANAC tipicamente apresenta material sobre os temas, emite opinião/posição sobre os diversos assuntos, participa como membro votante. A manutenção da presença da ANAC é esperada por ser vista como uma das 4 principais autoriades de aviação civil.</t>
  </si>
  <si>
    <t>CARLOS JOSE DA SILVA CRUZ</t>
  </si>
  <si>
    <t xml:space="preserve"> 00066.014934/2024-40</t>
  </si>
  <si>
    <t>WG-31 EMI management for Very High Power Systems</t>
  </si>
  <si>
    <t>2025PAI23PAER002</t>
  </si>
  <si>
    <t>Saint-Denis</t>
  </si>
  <si>
    <t>RODRIGO VIEIRA MACHADO DE MORAES</t>
  </si>
  <si>
    <t>00066.015321/2024-20</t>
  </si>
  <si>
    <t>Remotely Piloted Aircraft Systems Panel (RPASP/24)</t>
  </si>
  <si>
    <t>RPASP/24</t>
  </si>
  <si>
    <t>2025PAI01SAFE003</t>
  </si>
  <si>
    <t>Alteração de todos os anexos, exceto Anexo 5.</t>
  </si>
  <si>
    <t>RUI CARLOS JOSINO ALEXANDRE</t>
  </si>
  <si>
    <t>00066.014874/2024-65</t>
  </si>
  <si>
    <t>Participação SAR e SPO</t>
  </si>
  <si>
    <t>Painel principal de aeronaves remotamente pilotadas da OACI.
Historicamente apenas SPO e SAR participam.
Apesar de serem duas reuniões por ano estou sugerindo apenas uma para a SPL participar.</t>
  </si>
  <si>
    <t>Advisor</t>
  </si>
  <si>
    <t>SAFE5.1</t>
  </si>
  <si>
    <t>CAMILO BALDY</t>
  </si>
  <si>
    <t>SPL/GTNO</t>
  </si>
  <si>
    <t>2025PAI01SAFE016</t>
  </si>
  <si>
    <t>Relatoria. Alteração de todos os anexos, exceto Anexo 5.</t>
  </si>
  <si>
    <t>SAFE 5.3 e 5.4</t>
  </si>
  <si>
    <t>CONRADO KLEIN</t>
  </si>
  <si>
    <t>GTVC/GOAG</t>
  </si>
  <si>
    <t>FRMS</t>
  </si>
  <si>
    <t>FRMS Forum Annual Conference</t>
  </si>
  <si>
    <t>2025PAI30SAFE001</t>
  </si>
  <si>
    <t>Nova Missão inserida</t>
  </si>
  <si>
    <t xml:space="preserve"> CAMILA TELES SILVA</t>
  </si>
  <si>
    <t>00066.002391/2025-07</t>
  </si>
  <si>
    <t>EASA Sampling Inspection System - Europe</t>
  </si>
  <si>
    <t>2025PAI07SAFE001</t>
  </si>
  <si>
    <t>Prevista em 2024, mas não realizada</t>
  </si>
  <si>
    <t>Portugal</t>
  </si>
  <si>
    <t>Lisboa</t>
  </si>
  <si>
    <t>Avaliar a implementação do acordo de manutenção aeronáutica realizando visitas técnicas (SIS)</t>
  </si>
  <si>
    <t>Coordenador</t>
  </si>
  <si>
    <t>KR SAIR4.1</t>
  </si>
  <si>
    <t>CIPRIANO TEIXEIRA DA SILVA</t>
  </si>
  <si>
    <t>00066.015132/2024-57</t>
  </si>
  <si>
    <t>GTOM e GTVA / GCAC</t>
  </si>
  <si>
    <t>WENDERSON SOARES PIRES</t>
  </si>
  <si>
    <t>Artificial Intelligence Days — High-Level Conference</t>
  </si>
  <si>
    <t>Conferência</t>
  </si>
  <si>
    <t>O EASA Artificial Intelligence Days — High Level Conference 2024 é de extrema relevância, focado no monitoramento de segurança através do uso de dados de inteligência. Este evento aborda questões cruciais sobre a integração de inteligência artificial no setor, alinhando-se diretamente com as competências da Assop em garantir a segurança operacional e a implementação de tecnologias inovadoras dentro do arcabouço regulatório. A troca de conhecimentos com líderes da indústria, pesquisadores e formuladores de políticas é uma oportunidade valiosa para aprofundar a compreensão sobre o impacto da IA nas normas de segurança e ética na aviação, contribuindo para o avanço seguro e eficiente do setor.</t>
  </si>
  <si>
    <t>Ouvinte</t>
  </si>
  <si>
    <t>SAFE1</t>
  </si>
  <si>
    <t>Ronaldo Wajnberg Gamermann</t>
  </si>
  <si>
    <t>Global Aviation Safety Plan (GASP-SG/15)</t>
  </si>
  <si>
    <t>GASP-SG/15</t>
  </si>
  <si>
    <t>2025PAI01SAFE004</t>
  </si>
  <si>
    <t>Coordenação ASSOP? 3 subgrupos: OPS, ORG, SPM (indicadores e monitoramento desempenho). Coordenação ASSOP</t>
  </si>
  <si>
    <t>A participação nesse fórum está relacionada com os processos de negócio da ANAC, uma vez que o objeto de discussão é o Safety Plan (nosso PSSO) e, consequentemente, com o PSOE e seus processos. 
O  fórum tem como produtos o desenvolvimento de material de orientação com o objetivo de auxiliar a implementação do GASP . Com isso, existe um potencial de influência na agenda regulatória da ANAC.
O fórum é um grupo colaborativo onde cada membro pode propor sugestões que têm o potencial de influenciar a elaboração do GASP e demais recomendações da OACI com vistas ao aumento da segurança operacional, mas também com vistas a reduzir o impacto de barreiras técnicas ou dificuldades estruturais, burocráticas ou econômicas.</t>
  </si>
  <si>
    <t>Incentiva colaboração entre Estados, colaborativa</t>
  </si>
  <si>
    <t>MARIO JOSE DIAS</t>
  </si>
  <si>
    <t>00066.015139/2024-79</t>
  </si>
  <si>
    <t>GTAD</t>
  </si>
  <si>
    <t>Programa universal OACI de auditoría de la seguridad de la aviación – Enfoque de observación continua (USAP-CMA) – Solicitud de una experta a corto plazo (STE)</t>
  </si>
  <si>
    <t>2025PAI01CTEC001</t>
  </si>
  <si>
    <t>Diárias e passagens pagas pela ICAO. Necessário apenas seguro viagem.</t>
  </si>
  <si>
    <t>La Paz</t>
  </si>
  <si>
    <t xml:space="preserve"> Diana Helena Ferreira</t>
  </si>
  <si>
    <t>00058.008305/2025-61</t>
  </si>
  <si>
    <t>Solicitud de designación de experto - One Stop Security (OSS) - Panamá</t>
  </si>
  <si>
    <t>Panamá</t>
  </si>
  <si>
    <t>2025PAI02CTEC004</t>
  </si>
  <si>
    <t>Custeado pela OACI SAM</t>
  </si>
  <si>
    <t>Cidade do Panamá</t>
  </si>
  <si>
    <t>FRANCISCO CARVALHO DE LIMA</t>
  </si>
  <si>
    <t>00058.021178/2025-95</t>
  </si>
  <si>
    <t>CAPA</t>
  </si>
  <si>
    <t>Airline Leader Summit</t>
  </si>
  <si>
    <t>2025PAI21ECON001</t>
  </si>
  <si>
    <t>Mesma PCDP GAD Americas</t>
  </si>
  <si>
    <t>Ilhas Cayman</t>
  </si>
  <si>
    <t>JULIANA SALIM FARIA DANTAS</t>
  </si>
  <si>
    <t>00066.003442/2025-18</t>
  </si>
  <si>
    <t>GAD</t>
  </si>
  <si>
    <t>Americas Event Airport Development and Finance Conference</t>
  </si>
  <si>
    <t>Os participantes terão a oportunidade de ouvir e discutir com os demais participantes da região como os países e regulados estão lidando com os desafios atuais e aprender novas soluções para segurança, desenvolvimento de serviços aéreos comerciais e de infraestrutura e questões de financiamento do setor.
A agenda inclui conversas bilaterais com representantes de organizações como FAA, IATA, ICAO e outras entidades de aviação. A participação é altamente incentivada, pois promove uma maior colaboração entre diversos regulados na região em temas essenciais para a agenda de concessões aeroportuárias do Brasil, como evolução do modelo de PPP, lições dos últimos anos, e dinâmica do mercado regional de infraestrutura aeroportuária e potencialidades para o mercado.</t>
  </si>
  <si>
    <t>Palestrante</t>
  </si>
  <si>
    <t xml:space="preserve">KR ECON1.3: Analisar impacto no processo regulatório brasileiro e melhorar contratos de concessões e relicitações de aeroportos. </t>
  </si>
  <si>
    <t>Apresentação do modelo brasileiro</t>
  </si>
  <si>
    <t>Provavel convite palestrar</t>
  </si>
  <si>
    <t>Diretoria. Compartilhamento de experiências e melhores práticas.</t>
  </si>
  <si>
    <t>IOSA Oversight Group (IOG) - 1st Meeting</t>
  </si>
  <si>
    <t>IOSA</t>
  </si>
  <si>
    <t>2025PAI14SAFE001</t>
  </si>
  <si>
    <t>Alterada para A em 25/02. Teams Sérgio SPO</t>
  </si>
  <si>
    <t>Reunião de grupo de trabalho de supervisão do IOSA. Participam membros da IATA e de operadores aéreos. Autoridades são convidadas para participar como observadores. Discussão técnica relevante com subgrupos. Várias empresas brasilerias possuem essa certificação. A ANAC tem buscado formas de utilizar IOSA como fonte adicional de vigilância e certificação, e vai celebrar um MOU em breve.</t>
  </si>
  <si>
    <t>KR SOPS 2.3 e 2.4</t>
  </si>
  <si>
    <t>BRUNO DINIZ DEL BEL</t>
  </si>
  <si>
    <t>00066.002720/2025-10</t>
  </si>
  <si>
    <t>GCTA E GCAC</t>
  </si>
  <si>
    <t>CAA UK</t>
  </si>
  <si>
    <t>TIP Revision</t>
  </si>
  <si>
    <t>TIP</t>
  </si>
  <si>
    <t>2025PAI69PAER001</t>
  </si>
  <si>
    <t>Reino Unido</t>
  </si>
  <si>
    <t>Crawley</t>
  </si>
  <si>
    <t xml:space="preserve">Acordo de Certificação </t>
  </si>
  <si>
    <t>Revisão TIP. Discussão conteúdo técnico TIP.</t>
  </si>
  <si>
    <t>PAER2.5</t>
  </si>
  <si>
    <t>EDUARDO VARDANEGA FRANÇA</t>
  </si>
  <si>
    <t>00066.002363/2025-81</t>
  </si>
  <si>
    <t>DANIEL PESSOA MARTINS CUNHA</t>
  </si>
  <si>
    <t xml:space="preserve">Aerodrome Pavement Experts Group (APEG/10) + Friction Task Force (FTF/31) </t>
  </si>
  <si>
    <t>APEG/10</t>
  </si>
  <si>
    <t>2025PAI01SAFE005</t>
  </si>
  <si>
    <t xml:space="preserve">APEG/10 - 7 a 9 de abril de 2025, em Montreal. Presencial. Evento em conjunto com FTF/31, que ocorrerá de 9 a 11 de abril em Montreal. Considerou-se duas PCDPs (membro e advisor) para participar dos dois eventos. Somente 1 PCDP em 2024. Eventos não são simultâneos. Considerou-se duas PCDPs (membro e advisor) para participar dos dois eventos. </t>
  </si>
  <si>
    <t>CHAIR</t>
  </si>
  <si>
    <t>Problema nacional de pavimentos em aeroportos. Dentro dos painéis técnicos, prioridade tema pista. RBAC 154 e 153. O APEG (Aerodrome Pavement Experts Group) é o novo nome do PSG (Pavement Sub-Group). A alteração no nome ocorreu em 2016, após 13 reuniões do PSG. Com o nome APEG, já ocorreram 10 reuniões desde então.
O APEG é o grupo de especialistas em pavimentos aeroportuários e, diferentemente do PSG, reporta diretamente ao ADOP (Aerodrome Design and Operation Panel).
O APEG tem como objetivo:
•	Desenvolver / atualizar as disposições existentes do Anexo 14 Vol I sobre o uso seguro e eficiente de pavimentos aeroportuários;
•	Desenvolver procedimentos no PANS-Aeródromos para o uso seguro e eficiente de pavimentos aeroportuários; e
•	Desenvolver / atualizar orientações (guias, manuais etc) sobre gerenciamento de pavimentos aeroportuários.</t>
  </si>
  <si>
    <t>LUCIUS DE ALBUQUERQUE PRADO</t>
  </si>
  <si>
    <t>00066.002059/2025-34</t>
  </si>
  <si>
    <t xml:space="preserve">Aerodrome Pavement Experts Group Friction Task Force (FTF/31) </t>
  </si>
  <si>
    <t>FTF/31</t>
  </si>
  <si>
    <t>2025PAI01SAFE007</t>
  </si>
  <si>
    <t>Mesma PCDP APEG/10</t>
  </si>
  <si>
    <t>Lucius de Albuquerque Prado (Membro Oficial APEG e FTF) 
e
Sergio Santilli (Advisor APEG)</t>
  </si>
  <si>
    <t>Wings of Change Americas (WoCA)</t>
  </si>
  <si>
    <t>Wings</t>
  </si>
  <si>
    <t>Caso palestrante, rever priorização.Networking.</t>
  </si>
  <si>
    <t>The IATA Wings of Change (WoC) is a major regional event that brings together the leaders of Latin America air transport industry.</t>
  </si>
  <si>
    <t>Aviation Security Panel (AVSECP/36)</t>
  </si>
  <si>
    <t>AVSECP/36</t>
  </si>
  <si>
    <t>2025PAI01SECU005</t>
  </si>
  <si>
    <t>Previsão do evento para 07 a 11/04 de 2025</t>
  </si>
  <si>
    <t>Híbrido</t>
  </si>
  <si>
    <t xml:space="preserve">Cibersecurity; Ameaça de Drones; Ameaças Emergentes; Novas Tecnologias de Equipamentos </t>
  </si>
  <si>
    <t xml:space="preserve">Treinamento tem que internalizar requisitos para formação dos profissionais. Cibersecurity; Ameaça de Drones; Ameaças Emergentes; Novas Tecnologias de Equipamentos </t>
  </si>
  <si>
    <t>Material do WGs</t>
  </si>
  <si>
    <t>Tárik Pereira de Souza (Membro Oficial)</t>
  </si>
  <si>
    <t>00066.002099/2025-86</t>
  </si>
  <si>
    <t>Membro Alterno</t>
  </si>
  <si>
    <t>Raphael Mello Horta (Membro Alterno)</t>
  </si>
  <si>
    <t>Facilitation Conference (FALC) + FALP Interssessional Meeting</t>
  </si>
  <si>
    <t>SOMENTE MEIA DIÁRIA. CUSTEADA PELO CATAR.</t>
  </si>
  <si>
    <t>Conferência de Facilitação do Transporte Aéreo</t>
  </si>
  <si>
    <t>Temas dos painéis e WGs</t>
  </si>
  <si>
    <t xml:space="preserve">Palestrante  </t>
  </si>
  <si>
    <t>HONORATO</t>
  </si>
  <si>
    <t>DIR-A</t>
  </si>
  <si>
    <t>CUSTEADO PELA DIRETORIA. PARTICIPAÇÃO SAS.</t>
  </si>
  <si>
    <t>ADRIANO PINTO DE MIRANDA</t>
  </si>
  <si>
    <t>SGM</t>
  </si>
  <si>
    <t xml:space="preserve">Evento relevante para o tema. </t>
  </si>
  <si>
    <t>RAFAEL JOSE BOTELHO FARIA</t>
  </si>
  <si>
    <t>F-44 General Aviation Aircraft (General) - 1st Meeting</t>
  </si>
  <si>
    <t>2025PAI18PAER002</t>
  </si>
  <si>
    <t>República Tcheca</t>
  </si>
  <si>
    <t>Praga</t>
  </si>
  <si>
    <t xml:space="preserve">4 subgrupos: vôos, estruturas, propulsão e sistemas. Certificação de Tipo e é significativo porque esse fórum define os padrões para certificação de aeronaves de pequeno porte, que é de grande interesse para o Brasil. Detalhamento de como cumprir RBAC 23, normas de consenso. Certificação de aviões de pequeno porte. Esse fórum também está discutindo sobre os eVTOL e propulsão elétrica. </t>
  </si>
  <si>
    <t>RBAC 23 depende da norma ASTM para certificação. Equivalente a IS.</t>
  </si>
  <si>
    <t>Normas eVTOL</t>
  </si>
  <si>
    <t>É membro oficial, com apresentação de material.</t>
  </si>
  <si>
    <t>PLÍNIO LUIS RIBEIRO</t>
  </si>
  <si>
    <t>00066.002797/2025-81</t>
  </si>
  <si>
    <t>F-44-50 General Aviation Aircraft (Systems and Equipment) - 1st Meeting</t>
  </si>
  <si>
    <t>2025PAI18PAER003</t>
  </si>
  <si>
    <t>4 subgrupos: vôos, estruturas, propulsão e sistemas. Certificação de Tipo e é significativo porque esse fórum define os padrões para certificação de aeronaves de pequeno porte, que é de grande interesse para o Brasil (iBR2020, expansão ALE). Detalhamento de como cumprir RBAC 23, normas de consenso. Certificação de aviões de pequeno porte. Esse fórum também está discutindo sobre os eVTOL (ou UBER aéreo), o que pode resultar em novidades regulatórias no futuro. Dentro do subcomitê F44.50 existe o grupo de trabalho WK 61549 que está desenvolvendo uma norma para comandos de voo indireto (Fly-by-Wire).</t>
  </si>
  <si>
    <t>JÚLIO VITAL DINIZ DE PAULA</t>
  </si>
  <si>
    <t>Aviation Safety Infoshare</t>
  </si>
  <si>
    <t>2 reuniões anuais. Somente presencial.</t>
  </si>
  <si>
    <t xml:space="preserve">Fórum mais importante da atualidade de compartilhamento de informações de safety. </t>
  </si>
  <si>
    <t>SAFE2</t>
  </si>
  <si>
    <t>Permite que a ANAC tenha conhecimento desses problemas e se prepare/atue para elevar o padrão de segurança operacional no Brasil. Participação também contribui com a implementação no Brasil de um Infoshare.</t>
  </si>
  <si>
    <t>Gerson Floriz e Bernardo</t>
  </si>
  <si>
    <t>G35 eVTOL PEL Requirements - Simulator - 1st Meeting 2025</t>
  </si>
  <si>
    <t>G35</t>
  </si>
  <si>
    <t>2025PAI17SAFE001</t>
  </si>
  <si>
    <t>Safety-PEL</t>
  </si>
  <si>
    <t>Melbourne</t>
  </si>
  <si>
    <t>Desenvolvimento de padrões de formação e qualificação de pilotos de eVTOL em fórum SAE, com participação de autoridades de aviação civil, provedores de treinamento e fabricantes de eVTOL. Participação em 2 grupos de trabalho simulador e treinamento de pilotos.</t>
  </si>
  <si>
    <t>SAFE4.1</t>
  </si>
  <si>
    <t>Impacto no EVE da Embraer</t>
  </si>
  <si>
    <t>Tema novo e que precisa ser desenvolvimento ASAP dada a velocidade de desenvolvimento dos eVTOL</t>
  </si>
  <si>
    <t>Industria Brasileira na vanguarda</t>
  </si>
  <si>
    <t>Convidado e membro</t>
  </si>
  <si>
    <t>GABRIEL DAMASO MURTA</t>
  </si>
  <si>
    <t>00066.003285/2025-32</t>
  </si>
  <si>
    <t>SPL/GEPE</t>
  </si>
  <si>
    <t xml:space="preserve">Air Transport Regulation Panel (ATRP) </t>
  </si>
  <si>
    <t>ATRP/18</t>
  </si>
  <si>
    <t>2025PAI01ECON005</t>
  </si>
  <si>
    <t>Acompanhamento de mercado de transporte aéreo. Melhores práticas. Discussão de acordo sobre propriedade e controle de empresas aéreas e implementação das decisões da 40ª Sessão da Assembleia da OACI para temas de regulação econômica do transporte aéreo. Acompanhar o desenvolvimento do mercado de UAS e a necessidade de regulação econômica para operações internacionais</t>
  </si>
  <si>
    <t xml:space="preserve"> ECON2, ECON3 e ECON5</t>
  </si>
  <si>
    <t>00066.002481/2025-90</t>
  </si>
  <si>
    <t>Aerodrome Design and Operations Panel (ADOP) Working Group Meeting (ADOP/WG/8)</t>
  </si>
  <si>
    <t>ADOP/WG/8</t>
  </si>
  <si>
    <t>2025PAI01SAFE008</t>
  </si>
  <si>
    <t>5 dias 1 PCDP
12 dias 2 PCDP</t>
  </si>
  <si>
    <t>Temas emergentes:
• Proposta de criação de SARPS sobre ground handling.
• Alteração do conceito do Aerodrome Reference Code e seus impactos ao longo das demais disposições do Anexo 14.
• Novos conceitos e metodologia para as superfícies limitadoras de obstáculos.
• Harmonização da infra com as operações EVTOL.
• Definição de requisitos para aeródromos na água.
Abordagem integrada entre infraestrutura e operações aeroportuárias, uma vez que o desenvolvimento do setor ensejava não mais a construção de novos aeroportos, mas a compatibilização dos já existentes com relação à possibilidade de operação de aeronaves mais exigentes. Coordenação de Job Cards sobre os seguintes temas:
- Avaliação e reporte das condições da superfície da pista (AOWG (FTF));
- Sistema de retenção de aeronaves (ADWG (AASWG));
- OLS em aeródromos (OLSTF);
- Revisão do método do Código de Referência e paramêtro governante (ADWG (ARCTF));
- Disposições internacionais sobre manobra em terra nos aeródromos (AOWG);
- Gestão do pavimento do aeródromo (AOWG (APEG));
- Planejamento de reposta a emergência no aeródromo, incluindo resgate e combate a incêndio (AOWG (RRFWG));
- Operações de projeto de helioportos (HDWG);
- Recursos visuais para operações diurnas/noturnas e em todas as condições meteorológicas (VAWG);
- Gerenciamento de superfície, incluindo prevenção de RI (AOWG);
- Padronização de nomeclatura para taxiway (ADWG);
- Planejamento do aeroporto (ADWG);
- Redução risco de colisão com 
passáros / animais selvagens aplicando novos métodos e tecnologias (AOWG (WHMEG));
- Uso de LED em recursos visuais (VAWG);
-  Avaliação e monitoramento das características de atrito da superfície da pista como parte de um programa apropriado de manutenção (AOWG (FTF));
- Melhoria da segurança operacional por meio de recurso visuais aprimorados para denotar obras de construção no aeródromo (VAWG);
- Projeto e operações de exensão do arranque da pista (RSE) (ADWG).</t>
  </si>
  <si>
    <t>Chairperson</t>
  </si>
  <si>
    <t>• Proposta de criação de SARPS sobre ground handling.
• Alteração do conceito do Aerodrome Reference Code e seus impactos ao longo das demais disposições do Anexo 14.
• Novos conceitos e metodologia para as superfícies limitadoras de obstáculos.
• Harmonização da infra com as operações EVTOL.
• Definição de requisitos para aeródromos na água.</t>
  </si>
  <si>
    <t>Giovano Palma (Chairperson)</t>
  </si>
  <si>
    <t>00066.003358/2025-96</t>
  </si>
  <si>
    <t>Personnel Training and Licensing Panel (PTLP) - 1ª Working Meeting</t>
  </si>
  <si>
    <t>Personnel</t>
  </si>
  <si>
    <t>2025PAI01SAFE009</t>
  </si>
  <si>
    <t>Discussão são realizadas e a reunião do painel de plenária. Minimo 2 pessoas. normas, cbta, formação e qualificação pilotos. Liderança mecanica e simuladores Marcus, Gabriella e Colonese CBTA.</t>
  </si>
  <si>
    <t>Londres</t>
  </si>
  <si>
    <t>Discussões sobre atualizações no Anexo 1, PANS TRG e Docs complementares de treinamento para consolidação e implementação de metodologia CBTA para a formação de profissionais para o sistema de aviação civil. 
Servidor está envolvido, como membro indicado pela SPL, no desenvolvimento dos requisitos PEL relacionados a operação de RPAS, conforme Tema 5 da Agenda Regulatória.
Servidor, por indicação da ANAC, é membro do Painel PEL ICAO, assim como é líder do grupo de especialistas PEL relacionados a licenças e habilitações de MMA.</t>
  </si>
  <si>
    <t>SPEL2.1</t>
  </si>
  <si>
    <t>RBAC 61</t>
  </si>
  <si>
    <t>Integrante e lider de grupos de trabalho dentro do painel</t>
  </si>
  <si>
    <t>MARCUS VINICIUS FERNANDES RAMOS</t>
  </si>
  <si>
    <t>00066.003846/2025-01</t>
  </si>
  <si>
    <t>SPL/GEPE/GTQC/GTNO/GFOP</t>
  </si>
  <si>
    <t>Advanced Air Mobility Study Group (AAM / SG5)</t>
  </si>
  <si>
    <t>AAM SG/5</t>
  </si>
  <si>
    <t>2025PAI01SAFE012</t>
  </si>
  <si>
    <t>Somente SAR participou em 2024. Suma relevância. OPS 2 servidores.</t>
  </si>
  <si>
    <t>Discussões relevantes sobre a atuação do ICAO AAM SG</t>
  </si>
  <si>
    <t>CONRADO KLEIN / FABIO FAGUNDES</t>
  </si>
  <si>
    <t>GTVC/GOAG e GOAG</t>
  </si>
  <si>
    <t>Eduardo Henn Bernardi (Advisor)</t>
  </si>
  <si>
    <t xml:space="preserve">Ground Handling Task Force (GHTF/22) </t>
  </si>
  <si>
    <t>2025PAI01SAFE010</t>
  </si>
  <si>
    <t>Planejamento inicial (escopo e plano de trabalho) para as atividades do grupo. A participação como membro nesse grupo de estudos é importante para as atividades relativas a AAM em toda a ANAC: certificação de eVTOL, certificação de vertiportos e de operadores aéreos de mobilidade aérea urbana, dentre outros.  O setor de mobilidade aérea urbana está em formação e o plano de trabalhos a definir nessa reunião envolverá o escopo dos trabalhos e definição dos documentos a serem produzidos.</t>
  </si>
  <si>
    <t>SAFE4.3</t>
  </si>
  <si>
    <t>ANDRE LUIZ ROSA MAYORAL</t>
  </si>
  <si>
    <t>00066.003034/2025-58</t>
  </si>
  <si>
    <t>MARCO AURELIO BONILAURI SANTIN</t>
  </si>
  <si>
    <t>Committee on Aviation Environmental Protection (CAEP) Modelling and Databases Group (MDG-FESG) - 1st Meeting CAEP/14</t>
  </si>
  <si>
    <t>2025PAI01AMBI002</t>
  </si>
  <si>
    <t>Grupo elabora projeções e modela impactos ambientais e econômicos de medidas ambientais.</t>
  </si>
  <si>
    <t>AMBI4</t>
  </si>
  <si>
    <t>Modelagens impactam indústria</t>
  </si>
  <si>
    <t>Modelagens integradas CO2 e ruído</t>
  </si>
  <si>
    <t>Não deverá apresentar paper</t>
  </si>
  <si>
    <t>DANIEL MARCELLOS CALCADO</t>
  </si>
  <si>
    <t>00066.002051/2025-78</t>
  </si>
  <si>
    <t>WALA</t>
  </si>
  <si>
    <t>Worldwide Airports Lawyers Association</t>
  </si>
  <si>
    <t>Worldwide</t>
  </si>
  <si>
    <t>2025PAI49DINT001</t>
  </si>
  <si>
    <t>Mais importante que ICC</t>
  </si>
  <si>
    <t>Curacao</t>
  </si>
  <si>
    <t>Willemstad</t>
  </si>
  <si>
    <t>Específico para advogados aeroportos e governamental para aeroportos. Mais importante que ICC. Relação entre titular do serviço e concessionário.</t>
  </si>
  <si>
    <t>Concessão aeroportuária</t>
  </si>
  <si>
    <t>00066.003206/2025-93</t>
  </si>
  <si>
    <t>FSF</t>
  </si>
  <si>
    <t>International Aviation Safety Summit (IASS)</t>
  </si>
  <si>
    <t>Somente presencial.</t>
  </si>
  <si>
    <t>Evento anual de grande importância na indústria da aviação, focado exclusivamente na segurança operacional. Tem como objetivos compartilhar conhecimento, promover colaboração, discutir novas tecnologias e inovações e analisar tendências e desafios.</t>
  </si>
  <si>
    <t>Bernardo Tomaz de Castro e Gérson</t>
  </si>
  <si>
    <t xml:space="preserve">Cybersecurity Panel (CYSECP/4) </t>
  </si>
  <si>
    <t>CYSECP/4</t>
  </si>
  <si>
    <t>2025PAI01SECU006</t>
  </si>
  <si>
    <t xml:space="preserve">A SIA está coordenando grupo interno de trabalho na ANAC. Expected Outcomes: Review the work done by the Secretariat Study Group on Cybersecurity, formulate the
Panel’s administrative arrangements, develop the Panel’s work programme and agree on Working Groups needed to conduct the work of the Panel. </t>
  </si>
  <si>
    <t xml:space="preserve">Menotti Erasmo da Silva Machado (Membro Oficial) </t>
  </si>
  <si>
    <t>00066.003353/2025-63</t>
  </si>
  <si>
    <t>RAFAEL RODRIGUES DIAS PEREIRA (Membro Alterno)</t>
  </si>
  <si>
    <t>CLAC</t>
  </si>
  <si>
    <t>Grupo Regional AVSEC/FAL/RG CLAC-OACI - XI Reunión</t>
  </si>
  <si>
    <t>Grupo</t>
  </si>
  <si>
    <t>2025PAI03SECU001</t>
  </si>
  <si>
    <t>2 PCDs de gestão da SIA.</t>
  </si>
  <si>
    <t>PRESIDENTE</t>
  </si>
  <si>
    <t>Antigua e Barbuda</t>
  </si>
  <si>
    <t>St. Johns</t>
  </si>
  <si>
    <t>Melhorias no processo de negócio e internalização de requisitos. Brasil papel importante no grupo.</t>
  </si>
  <si>
    <t>SECU6.1-Atuar para melhorar a governança do Grupo Regional AVSEC/FAL</t>
  </si>
  <si>
    <t>Ex. Passageiro indisciplinado é um tema em discussão e representa uma das maiores preocupações atuais da indústria, principalmente operadores aéreos. 80?</t>
  </si>
  <si>
    <t>Tomar posição de liderança e benchmarking</t>
  </si>
  <si>
    <t>Diana Helena Ferreira (Membro Oficial)</t>
  </si>
  <si>
    <t>00066.004045/2025-55</t>
  </si>
  <si>
    <t>Gestão das PCDPs da SIA. Ficou 1 vaga para SIA e 1 para SPL</t>
  </si>
  <si>
    <t>MICHELLE SALGADO FERREIRA ARCÚRIO</t>
  </si>
  <si>
    <t>Wildlife Hazard Management Expert Group (WHMEG)</t>
  </si>
  <si>
    <t>Wildlife</t>
  </si>
  <si>
    <t>2025PAI01SAFE006</t>
  </si>
  <si>
    <t>7 a 11 de abril de 2025.</t>
  </si>
  <si>
    <t>Holanda</t>
  </si>
  <si>
    <t>Hala</t>
  </si>
  <si>
    <t>Harmonização do Airport Services Manual Part 3 Wildlife Hazard Management (5th Edition, 2020) Doc 9137 e do PANS-Aerodromes (Doc. 9981) e Anexo 14 com a linguagem utilizada no novo Manual IBIS (Doc 9332) (reportes de colisões com fauna, e possível atualizaçao destes documentos.</t>
  </si>
  <si>
    <t>Alto impacto nos aerodromos brasileiros</t>
  </si>
  <si>
    <t>Paulo Gonçalves de Paulo Filho</t>
  </si>
  <si>
    <t>SIAE</t>
  </si>
  <si>
    <t>Paris AirShow</t>
  </si>
  <si>
    <t>2025PAI70ECON001</t>
  </si>
  <si>
    <t>Participação ASINT</t>
  </si>
  <si>
    <t>Paris</t>
  </si>
  <si>
    <t>Participação 2 Diretores</t>
  </si>
  <si>
    <t xml:space="preserve">156th Slot Conference </t>
  </si>
  <si>
    <t>156th</t>
  </si>
  <si>
    <t>2025PAI14ECON001</t>
  </si>
  <si>
    <t>Vancouver</t>
  </si>
  <si>
    <t>Oportunizar o ajuste dos slots (malha aérea) por parte das empresas aéreas que atuam no Brasil para a temporada W23.Além disso, há reuniões com IATA, ACI e outros coordenadores do mundo quanto ao processo de coordenação e alocação de slots</t>
  </si>
  <si>
    <t>Pode facilitar a entrada de novas empresas aéreas no mercado brasileiro, por meio do ajuste dos slots</t>
  </si>
  <si>
    <t>O processo de coordenação e alocação de slots possui altíssima relevância para o mercado de aviação</t>
  </si>
  <si>
    <t>A ANAC é responável pelo processo de coordenação e alocação de slots em aeroportos coordenados (nível 3), e nessa missão estamos como coordenador, representando o Brasil no fórum internacional</t>
  </si>
  <si>
    <t>A participação da Conferência Internacional de Slots é essencial para o cumprimento normativo relativo à norma de slots (Res. 682/2022 e Portaria 8449/SAS/2022</t>
  </si>
  <si>
    <t>Rodrigo Neves Martins</t>
  </si>
  <si>
    <t>00066.003901/2025-55</t>
  </si>
  <si>
    <t>LUCIANA MARQUES RIBEIRO ALVES VEIGA</t>
  </si>
  <si>
    <t>CANSO</t>
  </si>
  <si>
    <t>Airspace World + visita técnica à ANAC Portugal e à Embraer</t>
  </si>
  <si>
    <t>2025PAI65ECON001</t>
  </si>
  <si>
    <t>Pedido de inserção no PAI via Despacho 11099326</t>
  </si>
  <si>
    <t>Participante</t>
  </si>
  <si>
    <t>Luiz Ricardo de Souza Nascimento</t>
  </si>
  <si>
    <t>00066.002746/2025-50</t>
  </si>
  <si>
    <t>Aviation Security Panel (AVSECP) Working Group on Training (WGT) - 2nd Meeting</t>
  </si>
  <si>
    <t>2nd Meeting 2025</t>
  </si>
  <si>
    <t>2025PAI01SECU007</t>
  </si>
  <si>
    <t>2a Reunião do Working Group on Training. SIA (Tárik) participará como Rapporteur e SPL como membro. Data Prevista: 24 a 26 de junho de 2025</t>
  </si>
  <si>
    <t>Romênia</t>
  </si>
  <si>
    <t>Bucareste</t>
  </si>
  <si>
    <t>00066.004562/2025-24</t>
  </si>
  <si>
    <t>LABACE</t>
  </si>
  <si>
    <t>Annual Latin American Business Aviation Conference &amp; Exhibition</t>
  </si>
  <si>
    <t>Superintendentes e Diretores</t>
  </si>
  <si>
    <t>Committee on Aviation Environmental Protection (CAEP) Working Group 2 (WG2) - 1st Meeting CAEP/14</t>
  </si>
  <si>
    <t>Gestão GMAT.  Participação SIA. DECEA também está envolvido. Verificar com GMAT, centralizar coordenação. Ver agenda. Consultar Victor Freire.</t>
  </si>
  <si>
    <t>Discussões sobre medidas operacionais para reduzir ruído e emissões e boas práticas de monitoramento de ruído. O Grupo de trabalho aborda temas improtantes sobre o engajamento da comunidade de aeroportos e operações, considerando novos entrantes e a dinâmica pós-pandêmica. Considerando o trade-off ruído x emissões, o grupo busca estudar riscos e oportunidades relacionados ao foco crescente nas mudanças climáticas e os efeitos, compensações e interdependências disso em questões de ruído e engajamento da comunidade.</t>
  </si>
  <si>
    <t>RBAC 161 é derivado de DOCs</t>
  </si>
  <si>
    <t>Não definido</t>
  </si>
  <si>
    <t>AE-2 / AE -4  (Lightning Commitee/ Electromagnetic Compatibility Commitee) - 2nd Meeting</t>
  </si>
  <si>
    <t>Bloco D</t>
  </si>
  <si>
    <t>O grupo de trabalho é dividido em vários subgrupos cujas atividades ocorrem simultaneamente. Portanto, a participação de mais de um servidor é altamente desejável. O grupo de trabalho objetiva desenvolver e manter práticas recomendadas para certificação ("Guidance Material") de proteções de aeronaves contra efeitos adversos de descargas atmosféricas, ou raios , provendo “guidance material” para atendimento aos requisitos de lightning de forma padronizada promovendo assim um tratamento igualitário dos diversos requerentes. Um dos subgrupos de trabalho de grande interesse para os projetos em andamento diz respeito a elaboração da ARP6205 "Transport Airplane Fuel Tank and Systems Lightning Protection", cuja importância se tornou ainda maior com a publicação da  emenda Amdt. No. 25-146 do 14 CFR Part 25, que alterou os requisitos 25.954 e 25.981.  A: Certificação de tipo e impacta diretamente as certificações em curso. B: com a alteração do requisito 25.954 e com as discussões entre autoridades (CATA HIRF) para melhor esclarecer a aplicação dos requisitos de lightning para sistemas, será provalvelmente necessária a atualizações dos guidances existentes para adequação ao correto entendimento dos requisitos. C: a recente participação da ANAC no grupo de trabalho de CATA HIRF do CMT, que também discutiu a aplicabilidade dos entendimentos para lightning,  trouxe uma bagagem que nos permite  influenciar a elaboração/revisão dos diversos guidances. D1/D2: para permitir a influência mencionada na justificativa do item C, faz-se necessária a participação constante da ANAC no grupo de trabalho, para permitir participar e eventualmente coordenar atividades de elaboração de seções desses guidances.</t>
  </si>
  <si>
    <t>GTEN</t>
  </si>
  <si>
    <t xml:space="preserve">Aerodrome Reference Code Task Force (ARCTF/17) </t>
  </si>
  <si>
    <t>ARCTF/17</t>
  </si>
  <si>
    <t>Participação Superintendente + 1. Previsão de realização da ADWG/24 de 15 a 19 de setembro de 2015, junto com a ARCTF/17 . A definir.
Considerando que o atual membro está licenciado da Anac, considerou-se PCDP para o Advisor apenas.</t>
  </si>
  <si>
    <t xml:space="preserve">Mudança nos parâmetros do código de referência de aeródromo, que é a base para a aplicação dos requisitos do RBAC 154. Certificação de aeródromos, task force dentro do ADWG. RBAC 154. A ARCTF foi criada no segundo quadrimestre (Q2) de 2015, estando vinculada ao ADWG do ADOP, para cumprir o plano de trabalho definido pela Air Navigation Commission (ANC) no Job Card 05, que trata especificamente da reavaliação do método de projeto de aeródromo baseado no código de referência do aeródromo constante no volume I do Anexo 14.  </t>
  </si>
  <si>
    <t>Mudança de código nos aeroportos. Novo critério velocidade de aproximação.</t>
  </si>
  <si>
    <t>Mudança significativa Anexo 14 RBAC 154. Alto impacto setor infraestrutura. USOAP.</t>
  </si>
  <si>
    <t>Ariel Juan Dias Quinteros (Membro Oficial),  Anderson Bermond de Lima (Advisor) e  Giovano Palma (ADOP - Chair)</t>
  </si>
  <si>
    <t xml:space="preserve">Airport Design Working Group (ADWG/24) </t>
  </si>
  <si>
    <t>ADWG/24</t>
  </si>
  <si>
    <t>junto com ARCTF/17</t>
  </si>
  <si>
    <t>Assembly</t>
  </si>
  <si>
    <t>42nd Session</t>
  </si>
  <si>
    <t>Assembleia</t>
  </si>
  <si>
    <t xml:space="preserve">Reunião de Alto Nível </t>
  </si>
  <si>
    <t xml:space="preserve">The Conference will bring together  senior management within States’ civil aviation authorities  to build consensus, obtain commitments and formulate  decisions deemed necessary for the effective and efficient progress of key air navigation initiatives by ICAO and  States. </t>
  </si>
  <si>
    <t>Celebração de acordo</t>
  </si>
  <si>
    <t>Obrigação de alto impacto para setor</t>
  </si>
  <si>
    <t>Participação obrigatória e participativa dos Estados Membros (similar a coordenadoria/relatoria)</t>
  </si>
  <si>
    <t>Diretoria e superintendentes posicionamento Brasil</t>
  </si>
  <si>
    <t>ALICE SERPA BRAGA DELLA NINA</t>
  </si>
  <si>
    <t>Marcelo Bernardes</t>
  </si>
  <si>
    <t>1 PCDP novo assessor</t>
  </si>
  <si>
    <t>Marcelo Carneiro e Diego Silva e Assessor</t>
  </si>
  <si>
    <t>Marcela Anselmi</t>
  </si>
  <si>
    <t>Elder</t>
  </si>
  <si>
    <t>BRUNO DEL BELL</t>
  </si>
  <si>
    <t>Giovano Palma</t>
  </si>
  <si>
    <t>DIR-P</t>
  </si>
  <si>
    <t>The Conference will bring together  senior management within States’ civil aviation authorities  to build consensus, obtain commitments and formulate  decisions deemed necessary for the effective and efficient progress of key air navigation initiatives by ICAO and  States.  A conferência terá como tema "PERFORMANCE  IMPROVEMENT DRIVING SUSTAINABILITY" e abordará qassuntos relacionados a novas tecnologias, progresso para o atingimento do LTAG e indicadores de desempenho.</t>
  </si>
  <si>
    <t>Visual Aids Working Group (VAWG/23)</t>
  </si>
  <si>
    <t>Visual</t>
  </si>
  <si>
    <t>Revisão ou inserção de SARPs ou orientações relacionadas com auxílios visuais de aeródromos, principalmente contidas no Anexo 14, Vol. 1 – Projeto de Aeródromo e DOC 9157 – Manual de Projeto de Aeródromo, Parte 4 – Instrumentos de Auxílio Visual, e Parte 5 – Sistemas Elétricos, em consonância com outras normas da OACI. Essas alterações visam ao fluxo ordenado, eficiente e seguro de aeronaves, veículos e pessoas em aeródromos e seu entorno e também à inclusão de novas tecnologias econômica e ambientalmente mais sustentáveis.</t>
  </si>
  <si>
    <t>Há temas que o Brasil tem interesse em levar para o WG e outros que dependem do WG para aprovação. Luz LED e outras tecnologias para sinalização em aeroportos</t>
  </si>
  <si>
    <t>Ingrid Fonseca de Araújo</t>
  </si>
  <si>
    <t>Annual International Aviation Safety Summit</t>
  </si>
  <si>
    <t>78th</t>
  </si>
  <si>
    <t>Learning From All Operations Work Group</t>
  </si>
  <si>
    <t>2025PAI35SAFE001</t>
  </si>
  <si>
    <t>Bélgica</t>
  </si>
  <si>
    <t>Bruxelas</t>
  </si>
  <si>
    <t>RONALDO WAJNBERG GAMERMANN</t>
  </si>
  <si>
    <t>00066.004876/2025-27</t>
  </si>
  <si>
    <t xml:space="preserve">155th Slot Conference </t>
  </si>
  <si>
    <t>155th</t>
  </si>
  <si>
    <t>Oportunizar o ajuste dos slots (malha aérea) por parte das empresas aéreas que atuam no Brasil para a temporada S24. Além disso, há reuniões com IATA, ACI e outros coordenadores do mundo quanto ao processo de coordenação e alocação de slots</t>
  </si>
  <si>
    <t>Rodrigo Neves Martins / Guerth Levay de Carvalho Reis</t>
  </si>
  <si>
    <t>Aerodrome Operations Working Group (AOWG/10)</t>
  </si>
  <si>
    <t>AOWG/10</t>
  </si>
  <si>
    <t>Participação Superintendente + 2</t>
  </si>
  <si>
    <t>Discutir SARPS do Anexo 14 e, principalmente, do PANS ADR (DOC 9981, relativas às operações aeroportuárias. O AOWG também possui diversas Task Forces e Expert Groups associadas, tais como GHTF, APEG, FTF, RFFWG, ERPEG, WHMEG. Desse modo, muitos dos assuntos desenvolvidos nesses subgrupos passam antes pelo AOWG para depois serem levados ao painel.</t>
  </si>
  <si>
    <t>EASA e OACI quer regular Ground Handling. Empresas aéreas e operadores aeroportuários são responsáveis por esses prestadores de serviços.</t>
  </si>
  <si>
    <t>Javã Atayde Pedreira da Silva (Membro Oficial), Marcos Eurich (Advisor), Giovano Palma (ADOP - Chair)</t>
  </si>
  <si>
    <t>Bilateral Meeting - Country X</t>
  </si>
  <si>
    <t>Superintendente e Diretoria</t>
  </si>
  <si>
    <t>Bilateral Meeting - Country Y</t>
  </si>
  <si>
    <t>Bilateral Meeting - Country Z</t>
  </si>
  <si>
    <t>Air Services Consultation Meeting - Europe</t>
  </si>
  <si>
    <t xml:space="preserve">Europe </t>
  </si>
  <si>
    <t xml:space="preserve">Acordo de Serviços Aéreos  </t>
  </si>
  <si>
    <t>Negociação de Acordos de Serviços Aéreos</t>
  </si>
  <si>
    <t>KR ECON2.2 KR ECON3.2 KR ECON4.1</t>
  </si>
  <si>
    <t>Superintendente</t>
  </si>
  <si>
    <t>Roque</t>
  </si>
  <si>
    <t>CAAC</t>
  </si>
  <si>
    <t>ANAC-CAAC Annual Meeting</t>
  </si>
  <si>
    <t>Reunião anual entre ANAC e CAAC China para tratar da agenda bilateral de cooperação, em alto nível (SAR).</t>
  </si>
  <si>
    <t>ROBERTO JOSÉ SILVEIRA HONORATO</t>
  </si>
  <si>
    <t>CAAS</t>
  </si>
  <si>
    <t>ANAC-CAAS Annual Meeting</t>
  </si>
  <si>
    <t>Singapura</t>
  </si>
  <si>
    <t>Reunião anual entre ANAC-CAAS para tratar da agenda bilateral de cooperação em alto nível (SAR).</t>
  </si>
  <si>
    <t xml:space="preserve">Certification Management Team (CMT) Meeting </t>
  </si>
  <si>
    <t>Reunião anual do grupo composto pela ANAC, TCCA, EASA e FAA. A participação nas reunioes e manutenção da SAR no grupo tem papel estratégico para a posição de referência da ANAC no cenário internacional como Autoridade de Certificação de Produto Aeronáutico. Indústria tem participação no último dia para troca de informações,</t>
  </si>
  <si>
    <t>Reuniões paralelas, principalmente acordo com TCCA</t>
  </si>
  <si>
    <t>Evtol, ALE, UAS, Avaliação operacional</t>
  </si>
  <si>
    <t>Honorato é co-chair. 3 reuniões bilaterais</t>
  </si>
  <si>
    <t>Superintende</t>
  </si>
  <si>
    <t xml:space="preserve">FAA-EASA International Aviation Safety Conference </t>
  </si>
  <si>
    <t>2025PAI08SAFE001</t>
  </si>
  <si>
    <t xml:space="preserve">Participação SAR com 2 PCDPS (Bruno e Santin) + Honorato (orçamento DIR) </t>
  </si>
  <si>
    <t>Reuniões bilaterais para resolução de problemas que estão acontecendo no momento</t>
  </si>
  <si>
    <t>Avaliação operacional e ALE. Probabilidade alta de tratar tema evtol (validação de aeronaves da Azul)</t>
  </si>
  <si>
    <t>Joint Committee Meeting ANAC-EASA</t>
  </si>
  <si>
    <t>Joint</t>
  </si>
  <si>
    <t>Reunião anual entre ANAC-EASA para tratar da agenda bilateral de cooperação em alto nível (SAR).</t>
  </si>
  <si>
    <t>PAER3.1</t>
  </si>
  <si>
    <t xml:space="preserve">Visita técnica em Pequim e Xangai, China </t>
  </si>
  <si>
    <t>2025PAI57ECON001</t>
  </si>
  <si>
    <t>Para essa missão, será utilizado o crédito da passagem na Qatar Airways, decorrente da missão cancelada em 2024 em virtude do acidente da Voepass. Portanto, os gastos serão apenas as diárias, a multa de remarcação e eventual diferença tarifária. (remarcação da viagem cancelada em 2024 em virtude do acidente da Voepass)</t>
  </si>
  <si>
    <t>DIRETOR LRI</t>
  </si>
  <si>
    <t>Article 12 (Rules of the air) Task Force - 1st Meeting</t>
  </si>
  <si>
    <t>Fechar produto para LC 2026. Astor presidente subgrupo ferramentas.</t>
  </si>
  <si>
    <t xml:space="preserve">Implementação na OACI mecanismo de reporte e notificação de infração no espaço aéreo de um país por operador de outro país. Decorrência do Caso Gol-Legacy. Brasil coordena o grupo para a elaboração da ferramenta digital de reporte e notificação </t>
  </si>
  <si>
    <t>Membro oficial e Chair do LC</t>
  </si>
  <si>
    <t>Resolução de problema grave e adoção obrigações para autoridades</t>
  </si>
  <si>
    <t>Alice Serpa Braga Della Nina e Astor de Lima Aversa Neto</t>
  </si>
  <si>
    <t>Risk Based IOSA Operator Workshop (será reaizado em 2024?)</t>
  </si>
  <si>
    <t>Risk</t>
  </si>
  <si>
    <t xml:space="preserve">Workshop </t>
  </si>
  <si>
    <t>O Workshop é organizado com o objetivo de apresentar o conceito, o processo e o impacto relacionado da IOSA com base em riscos, o conceito, o processo e o impacto relacionado aos operadores.</t>
  </si>
  <si>
    <t>Safety Management Panel (SMP)</t>
  </si>
  <si>
    <t>SMP/8</t>
  </si>
  <si>
    <t>2025PAI01SAFE014</t>
  </si>
  <si>
    <t>Coordenar servidores ANAC?</t>
  </si>
  <si>
    <t>NEVERTON RAPPOURTER WG</t>
  </si>
  <si>
    <t>Emenda ao anexo 19. Impacto nos operadores aéreos. Dentre os temas emergentes da agenda do SMP encontra-se a revisão profunda do Anexo 19, com aplicabilidade prevista para 2026. 
Nessa revisão, alguns temas destacam-se:
- extensão da aplicabilidade do SMS para outros provedores de serviços atualmente não contemplados pelo Anexo 19 (RPAS, ground handlers, heliport);
- introdução do conceito de inteligência de segurança operacional, como evolução do atual capítulo 5 do Anexo 19;
- importância da gestão da segurança também nas interfaces experimentadas pelos provedores de serviço com outras organizações;
- abordagens para a gestão da segurança operacional que integrem diferentes temáticas (safety e security, por exemplo).</t>
  </si>
  <si>
    <t>Obrigação de alto impacto. Anexo 19 impacta em todos as áreas. Tema transversal de safety.</t>
  </si>
  <si>
    <t>João é vice-chair e Neverton coordenador WG</t>
  </si>
  <si>
    <t>JOAO SOUZA DIAS GARCIA</t>
  </si>
  <si>
    <t>3 subgrupos: OPS, ORG, SPM (indicadores e monitoramento desempenho)</t>
  </si>
  <si>
    <t>A participação nesse fórum está relacionada com os processos de negócio da ANAC, uma vez que o objeto de discussão é o Safety Plan e, consequentemente, com o PSOE e seus processos. 
O  fórum tem como produtos o desenvolvimento de material de orientação com o objetivo de auxiliar a implementação do GASP. Com isso, existe um potencial de influência na agenda regulatória da ANAC.
O fórum é um grupo colaborativo onde cada membro pode propor sugestões que têm o potencial de influenciar a elaboração do GASP e demais recomendações da OACI com vistas ao aumento da segurança operacional, mas também com vistas a reduzir o impacto de barreiras técnicas ou dificuldades estruturais, burocráticas ou econômicas.</t>
  </si>
  <si>
    <t>PSO BR (Plano) e reflete no PSSO (ANAC) Revisão 2023</t>
  </si>
  <si>
    <t>ÉRICA JORDANA BENTO VIANA CRUZ</t>
  </si>
  <si>
    <t>Safety Management Panel Working Groups Meeting (SMP/WG)</t>
  </si>
  <si>
    <t>SMP/WG/9</t>
  </si>
  <si>
    <t>Mesmo nível do painel SMP. Dentre os temas emergentes da agenda do SMP encontra-se a revisão profunda do Anexo 19, com aplicabilidade prevista para 2026. 
Nessa revisão, alguns temas destacam-se:
- extensão da aplicabilidade do SMS para outros provedores de serviços atualmente não contemplados pelo Anexo 19 (RPAS, ground handlers, heliport);
- introdução do conceito de inteligência de segurança operacional, como evolução do atual capítulo 5 do Anexo 19;
- importância da gestão da segurança também nas interfaces experimentadas pelos provedores de serviço com outras organizações;
- abordagens para a gestão da segurança operacional que integrem diferentes temáticas (safety e security, por exemplo).</t>
  </si>
  <si>
    <t>MARIO JOSE DIAS E JOÃO GARCIA</t>
  </si>
  <si>
    <t>XXV Asamblea Ordinario</t>
  </si>
  <si>
    <t>XXV</t>
  </si>
  <si>
    <t>Participação Dir-P</t>
  </si>
  <si>
    <t>Bloco B</t>
  </si>
  <si>
    <t>Acordo de céus abertos e PLANCHA CLAC - Conselho da OACI. Orgão Decisório Político</t>
  </si>
  <si>
    <t>Definição proposta acordo céus abertos.</t>
  </si>
  <si>
    <t>Acordos não existentes</t>
  </si>
  <si>
    <t>Membro e levará proposta de acordo</t>
  </si>
  <si>
    <t>Diretoria</t>
  </si>
  <si>
    <t>MARCELO LIMA</t>
  </si>
  <si>
    <t>Air Services Negotiation Event (ICAN)</t>
  </si>
  <si>
    <t>Em 2024 não houve participação. Importante participar em 2025.</t>
  </si>
  <si>
    <t>República Dominicana</t>
  </si>
  <si>
    <t>Países de baixa relevância</t>
  </si>
  <si>
    <t>Bilaterais</t>
  </si>
  <si>
    <t xml:space="preserve">Reunión Odinaria de la Junta General </t>
  </si>
  <si>
    <t>JG/36</t>
  </si>
  <si>
    <t>Junto com RAAC. Participação Dir-P Participação 4 PCDPs</t>
  </si>
  <si>
    <t>Missão Diretoria e ASINT. SRVSOP semelhante à Assembleia CLAC, mas foco na segurança operacional.</t>
  </si>
  <si>
    <t>Mitigação riscos, harmonização regulatória regional. Obrigação de alto impacto.</t>
  </si>
  <si>
    <t>Emergency Response Planning Expert Group (ERPEG)</t>
  </si>
  <si>
    <t>Emergency</t>
  </si>
  <si>
    <t>2025PAI01SAFE017</t>
  </si>
  <si>
    <t>Não há previsão de data de reunião no momento. Grupo está sendo constituído. Foi prevista uma reunião em 2025.</t>
  </si>
  <si>
    <t>Grupo criado na reunião do ADOP/5 (2024) e deverá se dedicar ao tema de atuação prioritária no planejamento da ICAO que trata do enfrentamento a situações emergenciais (emergências de saúde pública, desastres naturais e outras). Atualização e complementação de disposições do PANS-Aerodromes e Doc 9137 que tratam de emergência aeroportuária, para inclusão de novos tipos de emergência.</t>
  </si>
  <si>
    <t>1a reunião
emergências de saúde pública, desastres naturais e outra</t>
  </si>
  <si>
    <t>Material ADOP, Porto Alegre</t>
  </si>
  <si>
    <t>Daniel Alves da Cunha</t>
  </si>
  <si>
    <t>Participação Ronaldo. Neverton foi para SPL</t>
  </si>
  <si>
    <t>Dentre os temas emergentes da agenda do SMP encontra-se a revisão profunda do Anexo 19, com aplicabilidade prevista para 2026. 
Nessa revisão, alguns temas destacam-se:
- extensão da aplicabilidade do SMS para outros provedores de serviços atualmente não contemplados pelo Anexo 19 (RPAS, ground handlers, heliport);
- introdução do conceito de inteligência de segurança operacional, como evolução do atual capítulo 5 do Anexo 19;
- importância da gestão da segurança também nas interfaces experimentadas pelos provedores de serviço com outras organizações;
- abordagens para a gestão da segurança operacional que integrem diferentes temáticas (safety e security, por exemplo).</t>
  </si>
  <si>
    <t>SAFE2
SAFE3</t>
  </si>
  <si>
    <t>João é vice-chair e Neverton rapporteur WG3</t>
  </si>
  <si>
    <t>Ronaldo Wajnberg Gamermann
Neverton Novais</t>
  </si>
  <si>
    <t>Ronaldo Wajnberg</t>
  </si>
  <si>
    <t>Dangerous Goods Panel (DGP) WG/25</t>
  </si>
  <si>
    <t>DGP-WG/25</t>
  </si>
  <si>
    <t>Reunião de painel</t>
  </si>
  <si>
    <t>Índia</t>
  </si>
  <si>
    <t>Nova Delhi</t>
  </si>
  <si>
    <t>O DGP ocorre a cada 2 anos (ímpares). Em anos pares, é chamado de WG/WGW (Working Group of the Whole), com mesmo grau de importância do DGP. A reunião conta com discussão e aprovação de Working Paper e Information Papers. Reunião usual do Painel de Artigos Perigosos na qual o Brasil participa ativamente há diversos anos incluindo a apresentação de papers. A ANAC possui representação como membro e vice-chairman e é necessária sua presença para não perder tal posição.  As discussões impactam diretamente na auditoria USOAP e nas Protocol Questions (PQ) As discussões implicam em alterações do RBAC 175, contido na agenda regulatória da ANAC.</t>
  </si>
  <si>
    <t>O: SOPS1
KR: SOPS1.2</t>
  </si>
  <si>
    <t>Visa elaborar/alterar normas internacionais</t>
  </si>
  <si>
    <t>O transporte de artigos perigosos sempre traz discussões inovadoras conforme novos produtos vão sendo desenvolvidos e precisam ser transportados ( Ex.: Baterias de sódio). Alto impacto em segurança operacional.</t>
  </si>
  <si>
    <t>Servidor é o vice-chairman da reunião e tem função de coordenação</t>
  </si>
  <si>
    <t>Reunião impacta diretamente o Anexo 18, Instruções Técnicas, RBAC 175 e suas IS.</t>
  </si>
  <si>
    <t>LEONARDO MACEDO RODRIGUES CASCARDO</t>
  </si>
  <si>
    <t>00066.003437/2025-05</t>
  </si>
  <si>
    <t>GTNO/GNOS</t>
  </si>
  <si>
    <t>N</t>
  </si>
  <si>
    <t>Dangerous Goods Panel (DGP) Working Group on Clarifying State Oversight Responsibilities in Annex 18 (DGP-WG/Annex 18)</t>
  </si>
  <si>
    <t>Dangerous</t>
  </si>
  <si>
    <t>Prevista para 2024 e postergada para 2025. Anexo 18. Publicação para apresentação ANC 2025.</t>
  </si>
  <si>
    <t>Grupo de Trabalho técnico do DGP que discute sobre as alterações nos requsitos de treinamento de artigos perigosos,  assunto de grande impacto em safety. A ANAC possui participação como membro e deve manter presença para evitar perder tal posição.
Grupo de Trabalho técnico que discute sobre a restruturação do Anexo 18, suas normas e recomendações. As discussões desse GT impactam diretamente na auditoria USOAP e nas Protocol Questions (PQ). A ANAC possui participação como membro e deve manter presença para evitar perder tal posição.</t>
  </si>
  <si>
    <t>O: SOPS1
KR: SOPS1.3</t>
  </si>
  <si>
    <t>LEONARDO CASCARDO</t>
  </si>
  <si>
    <t>DGP-WG/A18/25</t>
  </si>
  <si>
    <t>Acontecerá 2 reuniões desse grupo em 2025?</t>
  </si>
  <si>
    <t>Dangerous Goods Panel (DGP) Working Group on Energy Storage Devices + ICAO Dangerous Goods Panel (DGP) Working Group on Updating the Supplement</t>
  </si>
  <si>
    <t>Supplement Rappourter</t>
  </si>
  <si>
    <t xml:space="preserve">Grupo de Trabalho técnico do DGP que discute sobre as alterações nos requsitos do transporte de baterias de lítio, assunto de grande impacto em safety. A ANAC possui participação como membro e deve manter presença para evitar perder tal posição.
Grupo de Trabalho técnico que discute sobre o suplemento das Instruções Técnicas, manual voltado para definir quais os procedimentos devem ser adotados pelas Autoridades de Aviação Civil com relação ao transporte aéreo de artigos perigosos. A ANAC possui participação como membro e co-rapporteur  e deve manter presença para evitar </t>
  </si>
  <si>
    <t>Dangerous Goods Panel (DGP/30) + ICAO Dangerous Goods Panel (DGP) Working Group on Clarifying State Oversight Responsibilities in Annex 18 (DGP-WG/Annex 18)</t>
  </si>
  <si>
    <t>WG/24/2</t>
  </si>
  <si>
    <t>O: SOPS1
KR: SOPS1.2
+
KR: SOPS1.3</t>
  </si>
  <si>
    <t>Global Aviation Safety Plan (GASP-SG/16)</t>
  </si>
  <si>
    <t>2025PAI01SAFE015</t>
  </si>
  <si>
    <t>Direcionamento foco dos países para questão de segurança. Posturas colaborativas nos principais atores. A participação nesse fórum está relacionada com os processos de negócio da ANAC, uma vez que o objeto de discussão é o Safety Plan (nosso PSSO) e, consequentemente, com o PSOE e seus processos. O  fórum tem como produtos o desenvolvimento de material de orientação com o objetivo de auxiliar a implementação do GASP . Com isso, existe um potencial de influência na agenda regulatória da ANAC. O fórum é um grupo colaborativo onde cada membro pode propor sugestões que têm o potencial de influenciar a elaboração do GASP e demais recomendações da OACI com vistas ao aumento da segurança operacional, mas também com vistas a reduzir o impacto de barreiras técnicas ou dificuldades estruturais, burocráticas ou econômicas.</t>
  </si>
  <si>
    <t>Paulo Henrique Iengo Nakamura
Ronaldo Wajnberg Gamermann</t>
  </si>
  <si>
    <t>Segunda Reunión Presencial de Implantación del Programa Estatal de Seguridad Operacional</t>
  </si>
  <si>
    <t>Segunda</t>
  </si>
  <si>
    <t>Atualização SMP no país. DECEA participaram 3 e CENIPA 2 em 2024. ANAC apresentou com somente 1 pessoa. State Safey Program Implementation Meeting (SSP)</t>
  </si>
  <si>
    <t>Principais objetivos são discutir recentes avanços em gestão da segurança e acompanhar o progresso feito pelos Estados da Região SAM na implementação da SSP.</t>
  </si>
  <si>
    <t>Vinculado à projeto</t>
  </si>
  <si>
    <t>Projeto piloto e somos convidados para compartilhar</t>
  </si>
  <si>
    <t>Plano Regional, lista reports mandatórios</t>
  </si>
  <si>
    <t xml:space="preserve">Paulo Henrique Iengo Nakamura e Bernardo </t>
  </si>
  <si>
    <t>Vertical Flight Infrastructure Working Group (VFIWG/2)</t>
  </si>
  <si>
    <t>Vertical</t>
  </si>
  <si>
    <t>Previsão de realização de reunião VFIWG/2 de 19 a 23 de maio, em Montreal</t>
  </si>
  <si>
    <t>Somente 1 PCDP em 2024</t>
  </si>
  <si>
    <t xml:space="preserve">Processo certificação em solo (on-shore).Incorporado processo de trabalho de certificação off-shore (sobre embarcação e plataforma). RBAC 155. Agenda 2017-2018, pendente desdobramentos necessários. Em fase de análise de resultado regulatório. </t>
  </si>
  <si>
    <t>Evtol. Job card recente. Ainda não sabe se criará novo grupo para tratar desse assunto.</t>
  </si>
  <si>
    <t>Membro coordena um dos grupos</t>
  </si>
  <si>
    <t>Maria Paula Boechat Borges de Macedo (Membro Oficial)
e
Victor Melo Freire (Advisor)</t>
  </si>
  <si>
    <t>Certification Authorities Propulsion Products (CAPP)</t>
  </si>
  <si>
    <t>Certification</t>
  </si>
  <si>
    <t>Grupo vinculado ao CMT sobre motores de aeronaves. Normalmente participamos virtualmente. A: como não temos indústria de motores, a contribuição se dá através das questões técnicas envolvendo instalação de motores nas aeronaves Embraer. C: O grupo discute possíveis recomendações de alteração de requisitos. D1: Mesmo virtualmente, costumamos apresentar material. D2: a expertise é suficiente para influenciar quando se tratam de questões que dependem tanto do motor como da instalação do motor na aeronave.</t>
  </si>
  <si>
    <t>Inovação: cinzas vulcanicas, propulsão hibrida e eletrica</t>
  </si>
  <si>
    <t>Apresenta material de relevância</t>
  </si>
  <si>
    <t>MARCELO SAITO</t>
  </si>
  <si>
    <t>Remotely Piloted Aircraft Systems Panel (RPASP/WHL)</t>
  </si>
  <si>
    <t>RPASP-WGWHL/3</t>
  </si>
  <si>
    <t>COB Task Group</t>
  </si>
  <si>
    <t>Reunião do Certification Oversigh Board com foco em harmonização das bases de certificação para aeronaves EVTOL - 1st Meeting</t>
  </si>
  <si>
    <t>1ST MEETING</t>
  </si>
  <si>
    <t>Promover a harmonização das bases de certificação para aeronaves eVTOL, garantindo alinhamento regulatório entre as autoridades envolvidas.</t>
  </si>
  <si>
    <t>César Silva</t>
  </si>
  <si>
    <t>Reunião do Certification Oversigh Board com foco em harmonização das bases de certificação para aeronaves EVTOL - 2nd Meeting</t>
  </si>
  <si>
    <t>2ND MEETING</t>
  </si>
  <si>
    <t>GTPR</t>
  </si>
  <si>
    <t>AGM &amp; Airline Leaders Forum</t>
  </si>
  <si>
    <t>Participação Dir-P E SGM</t>
  </si>
  <si>
    <t>Latin American and Caribbean Airlines Annual Meeting</t>
  </si>
  <si>
    <t>Reuniões bilaterais durante o evento</t>
  </si>
  <si>
    <t>Membro, palestrante e discussões bilaterais</t>
  </si>
  <si>
    <t xml:space="preserve">Marcelo Carneiro </t>
  </si>
  <si>
    <t>Participação Dir-P e ASINT</t>
  </si>
  <si>
    <t>Participação ASINT e SGM</t>
  </si>
  <si>
    <t>Comité Ejecutivo - 1st Meeting</t>
  </si>
  <si>
    <t>Comité</t>
  </si>
  <si>
    <t>2025PAI03ECON003</t>
  </si>
  <si>
    <t>Aprobación términos de referencia de Auditoria presupuestaria de la CLAC. Planejamento e discussões a serem levados para Assembleia da CLAC. Orgão Executivo.</t>
  </si>
  <si>
    <t>Temas são levados para Assembléia</t>
  </si>
  <si>
    <t>00066.005517/2025-97</t>
  </si>
  <si>
    <t xml:space="preserve">International Aviation Safety Conference </t>
  </si>
  <si>
    <t>Reuniões bilaterais e follow up MMT</t>
  </si>
  <si>
    <t>O: SAIR4
KR: SAIR4.1</t>
  </si>
  <si>
    <t>Possível discussão de acordos bilaterais e MMT</t>
  </si>
  <si>
    <t>ANAC vai coordenar missão MMT (reunião de follow up, check action items)</t>
  </si>
  <si>
    <t>ÁUREO VASCONCELOS</t>
  </si>
  <si>
    <t>00058.026165/2025-11</t>
  </si>
  <si>
    <t>SPO / GTNO/GNOS</t>
  </si>
  <si>
    <t>MARCO AURÉLIO BONILAURI SANTIN</t>
  </si>
  <si>
    <t>BRUNO HIDALGO RODRIGUES</t>
  </si>
  <si>
    <t>MMT</t>
  </si>
  <si>
    <t>Maintenance Management Team Meeting</t>
  </si>
  <si>
    <t xml:space="preserve">Será no Brasil. Discutidos 3 acordos de manutenção (FAA, EASA, TCCA), impacta diretamente certificação de oficinas. RBAC 145, possível retroalimentação. </t>
  </si>
  <si>
    <t>Será no Brasil</t>
  </si>
  <si>
    <t>Áureo Vasconcelos</t>
  </si>
  <si>
    <t>CAACL</t>
  </si>
  <si>
    <t xml:space="preserve">Reunião Ordinária de Diretores Gerais e Presidentes </t>
  </si>
  <si>
    <t>13a</t>
  </si>
  <si>
    <t>Guiné-Bissau</t>
  </si>
  <si>
    <t>Rediscutir acordos entre CLAC e CAACL/CAFAC para céus abertos.</t>
  </si>
  <si>
    <t>Discussão proposta acordo céus abertos.</t>
  </si>
  <si>
    <t>Reunión de Coordinación com los Puntos Focales</t>
  </si>
  <si>
    <t>RCPF/25</t>
  </si>
  <si>
    <t>Participação da ASSOP</t>
  </si>
  <si>
    <t>ex: ALE</t>
  </si>
  <si>
    <t>Chefe Asssessoria ou Superintendente</t>
  </si>
  <si>
    <t>Meeting for National Continuous Monitoring Coordinators (NCMC) (não confirmada para 2025)</t>
  </si>
  <si>
    <t>Meeting</t>
  </si>
  <si>
    <t>O Brasil ocupa posição de referência na Região SAM. O encontro visa à cooperação entre Estados para informações de melhores práticas, trocas de experiências.</t>
  </si>
  <si>
    <t>Obrigação de alto impacto.</t>
  </si>
  <si>
    <t>ANAC apresentará material?</t>
  </si>
  <si>
    <t>Gérson Floriz Costa Junior</t>
  </si>
  <si>
    <t>Acordo de  reconhecimento de certificação de OMA</t>
  </si>
  <si>
    <t>Nova missão. OPS, AIR, NORMA ou Superintendente</t>
  </si>
  <si>
    <t>Visita técnica</t>
  </si>
  <si>
    <t>Familiarização para viabilização de acordo de  reconhecimento de certificação de OMA</t>
  </si>
  <si>
    <t>O: SAIR2
KR SAIR2.x</t>
  </si>
  <si>
    <t>ÁUREO VASCONCELOS / os outros seriam da GCAC (GTOM e GTVA)</t>
  </si>
  <si>
    <t>GTNO/GNOS, GTOM/GCAC E GTVA/GCAC</t>
  </si>
  <si>
    <t>S</t>
  </si>
  <si>
    <t>Air Transport Regulation Panel (ATRP) WG2</t>
  </si>
  <si>
    <t>Reunião a ser confirmada para 2025</t>
  </si>
  <si>
    <t>Drones. adoção de convenção internacional sobre a 7ª liberdade de carga, com temas que se relacionam com os interesses do Brasil em outro acordo, envolvendo a propriedade de empresas aéreas</t>
  </si>
  <si>
    <t>ECON5</t>
  </si>
  <si>
    <t>MARCO ANTONIO PORTO</t>
  </si>
  <si>
    <t>Airworthiness Panel (AIRP) Working Group (WG1)</t>
  </si>
  <si>
    <t xml:space="preserve">Geração de SARPs, Anexo 8 e 6 e DOCs. Reconhecimento global de oficinas, redução duplicidade certificação. RBAC 145. </t>
  </si>
  <si>
    <t>Aceitação global manutenção e certificação de tipo. Muitos países que não fazem validação estão fazendo.</t>
  </si>
  <si>
    <t>LAWRENCE JOSUÁ FERNANDES COSTA</t>
  </si>
  <si>
    <t>GCAC</t>
  </si>
  <si>
    <t>Airworthiness Panel (AIRP/12)</t>
  </si>
  <si>
    <t>AIRP/12</t>
  </si>
  <si>
    <t xml:space="preserve">Aviation Security Panel (AVSECP) Working Group on Annex 17 (WGA17) </t>
  </si>
  <si>
    <t>Ainda sem data prevista. A última reunião em 2024 será em novembro. Apenas após essa reunião é que o grupo decidirá a data do encontro de 2025.</t>
  </si>
  <si>
    <t>Após a última emenda do Anexo 17, o WGA17 vem trabalhando em uma revisão. Na última reunião, o tema mais controverso foi a revisão do requisito que trata da necessidade de os Estados garantirem a certificação AVSEC de operadores aéreos estrangeiros. Assim, é possível que tal tema volte a ser discutido, para amadurecimento do requisito.</t>
  </si>
  <si>
    <t>cybersecurity, cultura de segurança, drones</t>
  </si>
  <si>
    <t>Provavel produção material</t>
  </si>
  <si>
    <t>Raphael Mello Horta (membro) ou 
Barbara Azevedo (alterno) 
ou 
Francisco Lima (alterno)</t>
  </si>
  <si>
    <t>Committee on Aviation Environmental Protection (CAEP) Steering Group (SG) - 1st Meeting CAEP/14</t>
  </si>
  <si>
    <t>Reunião gerencial anual. Estudos técnicos relacionados às questões ambientais da aviação, incluindo ruído, poluentes e mudança climática. Abrange aspectos relacionados à certificação de aervonaves e motores, emissões associadas aos operadores aéreos e ao uso de combustíveis sustentáveis de aviação.</t>
  </si>
  <si>
    <t>MARCELA BRAGA ANSELMI &amp; RICARDO ANTONIO BINOTTO DUPONT</t>
  </si>
  <si>
    <t>Ground</t>
  </si>
  <si>
    <t xml:space="preserve">Previsão de realização de reunião de 5 a 9 de maio, em Montreal. </t>
  </si>
  <si>
    <t>A proposta com a Fase 2 de modificações, envolvendo SARPs e PANS-Aerodromes foi aprovada no ADOP/5. Algumas modificações que envolvem outros Anexos ainda devem ser aprovadas nos respectivos fóruns. A segunda fase inclui provisões mais detalhadas relacionadas à: padronização de procedimentos operacionais; coordenação com regras relativas à saúde e segurança do trabalho; treinamento de pessoal; programa de manutenção de equipamentos e veículos; disponibilização de equipamentos e veículos adequados. A possibilidade de modificação nas SARPs já aprovadas no ADOP é pequena, a menos que haja muitos comentários na fase de consulta da proposta, mas pretende-se buscar um ajuste na aplicabilidade.
Também há duas atividades recomendadas na HLCC 2021 e ainda não iniciadas: uma relacionada à coleta, compartilhamento e harmonização de dados de segurança operacional relacionado com operações de ground handling; e outra relacionada mais relacionada à promoção da segurança operacional no setor de ground handling.</t>
  </si>
  <si>
    <t>SAGA1.1-Inibir a criação de novos padrões e práticas recomendadas (SARPs) para ground handling, além daqueles já aprovados no Painel de Aeródromo (ADOP) em 2022</t>
  </si>
  <si>
    <t>SAGA1.2-Atuar para que eventuais SARPs criadas para o setor de ground handling permitam que a ANAC possa internalizar de forma discricionária após AIR que recomende a sua aplicabilidade</t>
  </si>
  <si>
    <t>Leonardo Lucio Esteves</t>
  </si>
  <si>
    <t>ANAC Argentina</t>
  </si>
  <si>
    <t>Interchange agreement - Argentina</t>
  </si>
  <si>
    <t>Argentina</t>
  </si>
  <si>
    <t>Familiarização para viabilização de acordo de intercâmbio</t>
  </si>
  <si>
    <t>KR SAIR1.4</t>
  </si>
  <si>
    <t>ÁUREO VASCONCELOS / os outros seriam da GCAC e GCTA</t>
  </si>
  <si>
    <t>GTNO/GNOS, GCAC e GCTA</t>
  </si>
  <si>
    <t>Personnel Training and Licensing Panel (PTLP/6)</t>
  </si>
  <si>
    <t>9 grupos de trabalho</t>
  </si>
  <si>
    <t>Servidor está envolvido, como membro indicado pela SPL, no desenvolvimento dos requisitos PEL relacionados a operação de RPAS, conforme Tema 5 da Agenda Regulatória.</t>
  </si>
  <si>
    <t>MARCUS VINICIUS FERNANDES RAMOS &amp; JOÃO COLONESE</t>
  </si>
  <si>
    <t>SPL/GEPE/GTQC/GTNO</t>
  </si>
  <si>
    <t>DIVERSOS</t>
  </si>
  <si>
    <t>PREMIOS SEGURIDAD DE LA AVIACIÓN CIVIL ECUADOR</t>
  </si>
  <si>
    <t>2nd Meeting</t>
  </si>
  <si>
    <t>2025PAI44SECU001</t>
  </si>
  <si>
    <t>Equador</t>
  </si>
  <si>
    <t>Quito</t>
  </si>
  <si>
    <t>MICHELLE SALGADO FERREIRA ARCURIO</t>
  </si>
  <si>
    <t>00066.002743/2025-16</t>
  </si>
  <si>
    <t xml:space="preserve">Reunião item do Programa de Trabalho do Legal Committee referente à demanda da IATA </t>
  </si>
  <si>
    <t>Reunião</t>
  </si>
  <si>
    <t>Ainda não aprovada no programa de trabalho do Comitê Jurídico, definição em novembro. Ocorrerá junto com a missão SSG-LIPA.</t>
  </si>
  <si>
    <t>Contribuir e acompanhar as discussões referentes ao intercâmbio de dados de passageiros de companhias aéreas para Estados</t>
  </si>
  <si>
    <t>Chair LC</t>
  </si>
  <si>
    <t>Alice Serpa Braga Della Nina</t>
  </si>
  <si>
    <t>One Stop Security (OSS) - Uruguai</t>
  </si>
  <si>
    <t>Uruguai</t>
  </si>
  <si>
    <t xml:space="preserve">Sem confirmação. Missão prevista para viabilizar acordo de OSS, entre os que estão em andamento (Uruguai) ou que venham a ser propostos. </t>
  </si>
  <si>
    <t>Implemnentação do acordo de OSS, entre os que estão em andamento ou que venham a ser propostos.</t>
  </si>
  <si>
    <t>Working Group on Cyber Threat and Risk (WGCTR/10) of Cybersecurity Panel (CYSECP)</t>
  </si>
  <si>
    <t>WGCTR/10</t>
  </si>
  <si>
    <t>Working Group on Cybersecurity Guindance Material (WGCGM/10) of Cybersecurity Panel (CYSECP)</t>
  </si>
  <si>
    <t>WGCGM/10</t>
  </si>
  <si>
    <t>Discussão de problemas relacionados a automação. Atualmente o representante da SAR participa dos comitês de automação (geral), premissas de fabricantes e gerenciamento de trajetória de voo. O principal objetivo desta reunião é progredir com o programa de trabalho do painel em preparação para a reunião do painel a ser realizada no segundo semestre de 2025.</t>
  </si>
  <si>
    <t>NELSON EISAKU NAGAMINE</t>
  </si>
  <si>
    <t>Apoio técnico: Revisão do LAR 21, CA-AIR-21-001 e atualização do Manual do Inspetor do sistema regional para atualização sobre SMS e RPAS.</t>
  </si>
  <si>
    <t xml:space="preserve">Sem custo ANAC. Nova missão </t>
  </si>
  <si>
    <t>Proposta de revisão de regulamentos no âmbito do SRVSOP.</t>
  </si>
  <si>
    <t>SAFE5.5</t>
  </si>
  <si>
    <t>CMT Priority Task 1</t>
  </si>
  <si>
    <t>Harmonização sobre registro e envolvimentos em validações. Discute a implementação harmônica entre bilaterais e estabelece restrições ao envolvimento de autoridades validadoras.</t>
  </si>
  <si>
    <t>CMT Priority Task 2</t>
  </si>
  <si>
    <t>CMT Priority Task 3</t>
  </si>
  <si>
    <t>Committee on Aviation Environmental Protection (CAEP) Working Group 1 (WG1) - 1st Meeting</t>
  </si>
  <si>
    <t>1st Meeting CAEP/14</t>
  </si>
  <si>
    <t>2025PAI01AMBI004</t>
  </si>
  <si>
    <t>Gestão da GMAT. Transferência trabalho para SAR.</t>
  </si>
  <si>
    <t>Grupo responsável pela elaboração dos requisitos técnicos de ruído.</t>
  </si>
  <si>
    <t>Ruído de eVTOL e supersônicos</t>
  </si>
  <si>
    <t>FÁBIO LUÍS FASSANI</t>
  </si>
  <si>
    <t>Reunión del Panel de Expertos en Aeronavegabilidad (RPEA/22)</t>
  </si>
  <si>
    <t>RPEA/22</t>
  </si>
  <si>
    <t>A: Impacto na certificação de oficinas e aproximação do LAR de aeronavegabilidade os RBACs, pode impactar positivamente no acordo multilateral de manutenção. B: RBAC 145, retroalimentação possível. C: influenciar LAR. D1: Apresentação material, Brasil referência na região. D2: Nível técnico.</t>
  </si>
  <si>
    <t>Pode impactar acordo de manutenção multilateral</t>
  </si>
  <si>
    <t>CESAR SILVA FERNANDES JUNIOR</t>
  </si>
  <si>
    <t>ANAC</t>
  </si>
  <si>
    <t>TSO (Technical Standard Order) Workshop</t>
  </si>
  <si>
    <t>A  Participação de 4 PCDPs</t>
  </si>
  <si>
    <t xml:space="preserve">Brasil </t>
  </si>
  <si>
    <t>SJC ou São Paulo</t>
  </si>
  <si>
    <t>Assunto certificação entre autoridades</t>
  </si>
  <si>
    <t>São discutidas inovações na regulamentação tanto entre autoridades quanto com a indústria.</t>
  </si>
  <si>
    <t>Aviation Law Americas</t>
  </si>
  <si>
    <t>Acessibilidade, transporte animais, judicialização, temas prioritários. Integração regional</t>
  </si>
  <si>
    <t>Evento de benchmarking e networking. Participação da SAC (palestra sobre regulação de acessibilidade)</t>
  </si>
  <si>
    <t>ECON2 ECON3 ECON4 ECON5</t>
  </si>
  <si>
    <t>Renegociações e cláusulas contratuais</t>
  </si>
  <si>
    <t>Advanced Air Mobility Conference</t>
  </si>
  <si>
    <t>Conferência realizada pela SAR para promover conhecimento e interação de stakeholders sobre Advanced Air Mobility. Evento conta com participações estrangeiras como convidados ANAC. Há necessidade de passagens e diárias para convidados.</t>
  </si>
  <si>
    <t>SPEAKERS (CONVIDADOS)</t>
  </si>
  <si>
    <t>EASA Bilateral Management Team</t>
  </si>
  <si>
    <t>Reunião bilateral de nível gerencial ANAC-EASA para coordenação de assuntos estratégicos.</t>
  </si>
  <si>
    <t>FAA Bilateral Management Team</t>
  </si>
  <si>
    <t>A Participação 2 PCDPs</t>
  </si>
  <si>
    <t>Reunião bilateral de nível gerencial ANAC-FAA para coordenação de assuntos estratégicos.</t>
  </si>
  <si>
    <t xml:space="preserve">G-27 Lithium Battery Packaging Performance </t>
  </si>
  <si>
    <t>27 Lithium Battery Packaging Performance</t>
  </si>
  <si>
    <t>Poder de influenciar nas decisões. Participação da ANAC desde 2012. Participação FAA, EASA e ANAC, indústria, fabricantes de bateria, operadores aéreos e laboratórios. Fabricantes aeronave somente Boeing. ICAO solicitou ações de mitigação e Bateria de lítio atua no não funcionamento da supressão de fogo da aeronave. Desenvolver norma para atuar diretamente na embalagem e bateria. SAR certifica embalagem, definindo características para evitar propagação fogo interno e externo.</t>
  </si>
  <si>
    <t>Problema grave segurança operacional. Mais grave qdo transportado no comportamento de carga.</t>
  </si>
  <si>
    <t>PAULO FABRICIO MACARIO</t>
  </si>
  <si>
    <t>EASA/GEMAB</t>
  </si>
  <si>
    <t>Grand Est Mondial Air Ballons</t>
  </si>
  <si>
    <t>Grand</t>
  </si>
  <si>
    <t>Reunião sobre certificação de balões durante festival de balões</t>
  </si>
  <si>
    <t>Management Meeting ANAC/FAA</t>
  </si>
  <si>
    <t>Management</t>
  </si>
  <si>
    <t>Reunião gerencial</t>
  </si>
  <si>
    <t>Reunião gerencial anual. Discuassão sobre os projetos em validação nas respectivas AA e melhorias de processos</t>
  </si>
  <si>
    <t>Mario Igawa</t>
  </si>
  <si>
    <t>Airworthiness Panel (AIRP) Working Group (WG2)</t>
  </si>
  <si>
    <t>2025PAI01SAFE011</t>
  </si>
  <si>
    <t>00066.002758/2025-84</t>
  </si>
  <si>
    <t>Brazil-Saudi Aviation Conference</t>
  </si>
  <si>
    <t>Brazil</t>
  </si>
  <si>
    <t>Bianual. 1 ano Brasil e outro EAU. Participação 2 Diretores.</t>
  </si>
  <si>
    <t>Arábia Saudita</t>
  </si>
  <si>
    <t>Conferência de Alto nível entre Brasil-Arábia Saudita</t>
  </si>
  <si>
    <t>Civil Aviation Legal Advisors Forum (CALAF)</t>
  </si>
  <si>
    <t>Civil</t>
  </si>
  <si>
    <t>Evento formal da ICAO, distribui tarefas para chefe do Comitê Jurídico</t>
  </si>
  <si>
    <t>promovido pelo LEB/ICAO e permite a troca de experiências e aprendizado relevante para quem presta assessoramento e consultoria jurídicos para as autoridades de aviação civil dos Estados-membros da ICAO. Brasil participou ativamente da última edição, com apresentação de paineis e moderação. Para a edição de 2024, a PF/ANAC está envolvida com a organização do evento junto ao LEB e ao host (Reino Unido) e assumirá atribuições de mediação de painel e de palestrante. Postula-se a disponibilização de duas vagas para o evento, para garantir a representação adequada da ANAC/Brasil no Fórum</t>
  </si>
  <si>
    <t>Participante e Chair do LC (palestrante)</t>
  </si>
  <si>
    <t>Procurador Federal a definir e Alice Serpa Braga della Nina</t>
  </si>
  <si>
    <t xml:space="preserve">Grupo de Expertos em Asuntos Políticos, Económicos y Jurídicos del Transporte Aéreo (GEPEJTA/58) </t>
  </si>
  <si>
    <t>2025PAI03ECON002</t>
  </si>
  <si>
    <t>Participação da SAS e GMAT</t>
  </si>
  <si>
    <t>Assuntos regulação relevantes de macrotemas.</t>
  </si>
  <si>
    <t>Assuntos relevantes de macrotemas (ex. SAF e retomada da aviação)</t>
  </si>
  <si>
    <t>ANDRE AIRTON DE MACEDO REBOUCAS</t>
  </si>
  <si>
    <t>00066.002944/2025-13</t>
  </si>
  <si>
    <t>LUCIANO LOPES DE AZEVEDO FREIRE</t>
  </si>
  <si>
    <t>Grupo de Expertos em Asuntos Políticos, Económicos y Jurídicos del Transporte Aéreo (GEPEJTA/59)</t>
  </si>
  <si>
    <t>TST Electric Hybrid Propulsion System (EHPS) - 1st Meeting</t>
  </si>
  <si>
    <t>TST do CMT criado para tratar de propulsão híbrida e elétrica.</t>
  </si>
  <si>
    <t>SERGIO ROBERTO FERREIRA MACHADO</t>
  </si>
  <si>
    <t>TST Electric Hybrid Propulsion System (EHPS) - 2nd Meeting</t>
  </si>
  <si>
    <t xml:space="preserve">Alemanha </t>
  </si>
  <si>
    <t>F-44-20 General Aviation Aircraft (Flight)</t>
  </si>
  <si>
    <t xml:space="preserve">4 subgrupos: vôos, estruturas, propulsão e sistemas. Certificação de Tipo e é significativo porque esse fórum define os padrões para certificação de aeronaves de pequeno porte, que é de grande interesse para o Brasil (iBR2020, expansão ALE). Detalhamento de como cumprir RBAC 23, normas de consenso. Certificação de aviões de pequeno porte. Esse fórum também está discutindo sobre os eVTOL (ou UBER aéreo), o que pode resultar em novidades regulatórias no futuro. </t>
  </si>
  <si>
    <t>JULIO CESAR CORREA BUZZI</t>
  </si>
  <si>
    <t>F-44-30 General Aviation Aircraft (Structures) - 1st Meeting</t>
  </si>
  <si>
    <t>RAFAEL FAVARO FOLTRAN</t>
  </si>
  <si>
    <t>F-44-40 General Aviation Aircraft (Powerplant) - 1st Meeting</t>
  </si>
  <si>
    <t>Part 21 DOA &amp; Certification Workshop</t>
  </si>
  <si>
    <t>Part</t>
  </si>
  <si>
    <t>Não relacionado a OKR. Objetivo específico relacionado à action item com EASA para cooperação na certificação DOA da Embraer.</t>
  </si>
  <si>
    <t>Rodrigo Kantek Zaduski</t>
  </si>
  <si>
    <t>Committee on Aviation Environmental Protection (CAEP) Working Group 4 (WG4) - 1st Meeting CAEP/14</t>
  </si>
  <si>
    <t>2025PAI01AMBI003</t>
  </si>
  <si>
    <t>Estava para ser VIRTUAL, mas será presencial e a segunda será virtual</t>
  </si>
  <si>
    <t>00066.003348/2025-51</t>
  </si>
  <si>
    <t>Grupo e desarrollo de metodologia Competencies Based Training and Assessment (CBTA) - 1st Meeting 2025 - Mecanicos de Mantenimiento</t>
  </si>
  <si>
    <t>Desenvolvimento de requisitos e procedimentos para o desenvolvimento do CBTA na regição ICAO SAM</t>
  </si>
  <si>
    <t>EDUARDO ROLLIN</t>
  </si>
  <si>
    <t>Grupo e desarrollo de metodologia Competencies Based Training and Assessment (CBTA) - 1st Meeting 2025 - Pilotos</t>
  </si>
  <si>
    <t>JOAO RAFAEL DE ANDRADE COLONESE</t>
  </si>
  <si>
    <t>Grupo e desarrollo de metodologia Competencies Based Training and Assessment (CBTA) - 2nd Meeting 2025 - Mecanicos de Mantenimiento</t>
  </si>
  <si>
    <t>Grupo e desarrollo de metodologia Competencies Based Training and Assessment (CBTA) - 2nd Meeting 2025 - Pilotos</t>
  </si>
  <si>
    <t>International Cooperation Forum</t>
  </si>
  <si>
    <t>International</t>
  </si>
  <si>
    <t>Custeado pela EASA</t>
  </si>
  <si>
    <t>Personnel Training and Licensing Panel (PTLP) WG2 Trainment and CBTA - 1st Meeting</t>
  </si>
  <si>
    <t>Avaliação da implementação de CBTA nos Estados Membros e análise e proposição de emendas ao Anexo 1 para ajustes e implementações sobre o CBTA no treinamento de profissionais da aviação civil.</t>
  </si>
  <si>
    <t>GABRIELLA CRISTINA DA SILVA SANTANA  &amp;  JOÃO RAFAEL ANDRADE DE COLONESE</t>
  </si>
  <si>
    <t>SPL/GTQC</t>
  </si>
  <si>
    <t>Personnel Training and Licensing Panel (PTLP) WG2 Trainment and CBTA - 2nd Meeting</t>
  </si>
  <si>
    <t>GABRIELLA CRISTINA DA SILVA SANTANA &amp;  JOÃO RAFAEL ANDRADE DE COLONESE</t>
  </si>
  <si>
    <t>TST 25.1322 - 1st Meeting</t>
  </si>
  <si>
    <t xml:space="preserve">TST do CMT para discussão do guidance de alertas para o RBAC 25.1322 (Fase 3). </t>
  </si>
  <si>
    <t>Reunión del Panel de Expertos en Licencias y Medicina Aeronáutica (RPEL/20)</t>
  </si>
  <si>
    <t>Reunión</t>
  </si>
  <si>
    <t>2025PAI04SAFE001</t>
  </si>
  <si>
    <t>Treinamento, simuladores (2) + 1 Medicina (nada sobre alteração de LAR) notas de estudo para melhorar IS. Em 2025 não está prevista ainda nota de estudo para parte médica</t>
  </si>
  <si>
    <t>Licença, médica e proficiência linguística. Reuniões separadas de licenças, proficiência linguística e médica e reunião final com todos. Participação de experts, instrução, licença e normas. A cada ano atualiza requisitos LAR 67 e meios de cumprimento. Acompanhar e contribuir nas discussões relacionadas ao LAR 61 e procedimentos para o escritório PEL no que concerne a aplicação de requisitos para concessão de licenças e habilitações. Acompanhar e contribuir com discussões sobre melhorias nos exames de proficiência em inglês na Região, podendo ser o Brasil a refer}encia de exames para a Região SAM</t>
  </si>
  <si>
    <t>SPEL 1.1</t>
  </si>
  <si>
    <t>Elaboração LAR</t>
  </si>
  <si>
    <t>RBAC 61 (agenda regulatória) e RBAC 67, IS e Manual de Instrução. Obessidade, limite idade, pós-Covid (sequelas) e descromatropicia</t>
  </si>
  <si>
    <t>Notas de estudo são apresentadas pelos componentes. BR tem relevância estatística por causa da volume de transporte aéreo.</t>
  </si>
  <si>
    <t>BR é referência</t>
  </si>
  <si>
    <t>MARCUS VINICIUS FERNANDES RAMOS &amp; CLARICE BERTONI LACERDA RODRIGUES &amp; MARIA CLARA TEIXEIRA</t>
  </si>
  <si>
    <t>Certification Authorities for Tranport Airplanes (CATA) - General Meeting</t>
  </si>
  <si>
    <t>CMT CATA</t>
  </si>
  <si>
    <t xml:space="preserve">Certificação de Tipo, e seria significativo porque estão presentes as 4 autoridades (FAA, EASA, TCCA e ANAC) e contribui fortemente para a otimização de processos para aceitação recíproca de aprovações entre as autoridades. As diversas discussões técnicas nesses fóruns podem resultar em revisões regulamentares para harmonizar os requisitos. O objetivo primário desse fórum é eliminar barreiras, na medida do possível, reduzindo diretamente o custo regulatório. </t>
  </si>
  <si>
    <t>Fórum de harmonização</t>
  </si>
  <si>
    <t>Dados da certificação de projeto relevantes para o ambiente operacional – RBAC 21</t>
  </si>
  <si>
    <t>Em 2021 era coordenador</t>
  </si>
  <si>
    <t>F-37 Light Sport Aircraft Committee Week - 2nd Meeting</t>
  </si>
  <si>
    <t>2025PAI18PAER004</t>
  </si>
  <si>
    <t>Frederick</t>
  </si>
  <si>
    <t>00066.003486/2025-30</t>
  </si>
  <si>
    <t>IOEPB Working Group - 1st meeting</t>
  </si>
  <si>
    <t>1st meeting</t>
  </si>
  <si>
    <t>Organização recentemente estabelecida como subgrupo do CMT. Constitui práticas relacionadas a determinação de treinamento mínimo de pilotos e padronização operacional. Suas tarefas específicas estão relacionadas com a identificação de áreas de possível aumento de "delegação" (validação) dos resultados da autoridade certificadora.</t>
  </si>
  <si>
    <t>PAER4.2</t>
  </si>
  <si>
    <t>CMT solicita ações mais estratégicas para geração de policies e mecanismos de reconhecimento e validação operacional. O que aconteceu no 737 Max, apontou para importância de empoderar esse grupo para validação de treinamento.</t>
  </si>
  <si>
    <t>Tema 1 da agenda regulatória</t>
  </si>
  <si>
    <t>Por comparação com outros WG similares sobre CATA CWI.</t>
  </si>
  <si>
    <t>ANDRE MARQUES CAETANO</t>
  </si>
  <si>
    <t>IOEPB Working Group - 2nd meeting</t>
  </si>
  <si>
    <t>2nd meeting</t>
  </si>
  <si>
    <t>JARUS</t>
  </si>
  <si>
    <t>Joint Authorities for Rulemaking on Unmanned Systems (JARUS) 2nd Plenary</t>
  </si>
  <si>
    <t>Repriorizada para B, dando lugar para a "Dronesquad - Transferability - 2025"</t>
  </si>
  <si>
    <t>Estudo e desenvolvimento de recomendações ("normas") para utilização de drones no Brasil, em especial a metodologia SORA da JARUS.</t>
  </si>
  <si>
    <t>Ad Hoc Cybersecurity Coordination Committee (AHCCC) - 1st Meeting</t>
  </si>
  <si>
    <t>João Garcia participará no lugar do Marcus Vinicius</t>
  </si>
  <si>
    <t>MARCUS VINICIUS FERNANDES RAMOS &amp; EDUARDO BATISTA NUNES</t>
  </si>
  <si>
    <t>SPL/GEPE/CIAS</t>
  </si>
  <si>
    <t>Ad Hoc Cybersecurity Coordination Committee (AHCCC) - 2nd Meeting</t>
  </si>
  <si>
    <t>Servidor, por indicação da ANAC, é membro do Painel PEL ICAO, assim como é líder do grupo de especialistas PEL relacionados a licenças e habilitações ed MMA.</t>
  </si>
  <si>
    <t>MARCUS VINICIUS FERNANDES RAMOS &amp; (Indicado pela CIAS)</t>
  </si>
  <si>
    <t>ACI</t>
  </si>
  <si>
    <t>Airport Experience Summit  + Technical Visit</t>
  </si>
  <si>
    <t>Acompanhar qualidade serviços prestados, reg economica, tarifas, melhorar custo empresas, renegociação</t>
  </si>
  <si>
    <t xml:space="preserve">O envento da ACI "Airport Experience Summit" é o principal evento aeroportuário dedicado à experiência dos usuários. É uma oportunidade única para aprender com líderes da indústria e CEOs sobre sua visão e estratégia de experiência aeroportuária. O evento atrai mais de 600 executivos seniores de aeroportos, profissionais de experiência do cliente e executivos de negócios relacionados.
Também é uma oportunidade para os participantes descobrirem e experimentarem produtos, serviços e tecnologias de experiência do cliente, com expositores específicos apresentando suas soluções para melhorar a experiência do passageiro e oferecer experiências memoráveis.
No eventou também serão revelados os vencedores do programa Airport Service Quality (ASQ), assim como os aeroportos que obtiveram a Acreditação de Experiência do Cliente.
Ideia de realizar visita técnica também a aeroporto de referência no país.
</t>
  </si>
  <si>
    <t>CCT V</t>
  </si>
  <si>
    <t>Aviation Data and Analysis Panel (ADAP) Working Group - Competition Index (ACWG) - 1º Semestre</t>
  </si>
  <si>
    <t>Projeto Prioritário? Assunto para levar ao GEPEJTA</t>
  </si>
  <si>
    <t>criação de um índice de competitividade da aviação civil. No início de 2022 o Brasil apresentou um WP com uma abordagem de competitividade com a ótica da constestabilidade de mercados para aviação civil. O WP foi bem recebido, mas é importante que a ANAC continue acompanhando as próximas discussões.</t>
  </si>
  <si>
    <t>ECON6</t>
  </si>
  <si>
    <t>Apresentação de material</t>
  </si>
  <si>
    <t>DOALDO E MARCO PORTO</t>
  </si>
  <si>
    <t>Aviation Data and Analysis Panel (ADAP) Working Group - Competition Index (ACWG) - 2º Semestre</t>
  </si>
  <si>
    <t xml:space="preserve">Aerodrome Reference Code Task Force (ARCTF/16) </t>
  </si>
  <si>
    <t>ARCTF/16</t>
  </si>
  <si>
    <t>Ainda não há data nem local definidos para a próxima reunião da ARCTF/16, uma vez que só serão definidos ao término da próxima reunião ocorrerá entre 16 e 20/09/2024. Previsão de realização de ARCTF/16 no 1º trimestre de 2025 e de ARCTF/17 de 15 a 19 de setembro de 2015, junto com ADWG/24 . A definir.</t>
  </si>
  <si>
    <t>Ariel Juan Dias Quinteros (Membro Oficial),  Anderson Bermond de Lima (Advisor) e Giovano Palma (ADOP - Chair)</t>
  </si>
  <si>
    <t xml:space="preserve">Aviation Security Panel (AVSECP) Working Group on Cargo Security (WGACS) </t>
  </si>
  <si>
    <t>Provávelmente no último trimestre de 2025.</t>
  </si>
  <si>
    <t>Como exemplo de questão emergente, surgem os estudos acerca dos potenciais impactos na AVSEC gerados pela utilização de aeronaves não tripuladas para o transporte de carga aérea.</t>
  </si>
  <si>
    <t>São discutidos temas inovadores na área da segurança da carga área.</t>
  </si>
  <si>
    <t>Vagner Neto</t>
  </si>
  <si>
    <t>Aviation Security Panel (AVSECP) Working Group on Innovation in Aviation Securiy (WGIAS​)</t>
  </si>
  <si>
    <t>Reuniões do grupo normalmente são virtuais. Está sendo prevista uma PCDP para o caso de reunião presencial.</t>
  </si>
  <si>
    <t>WG incipiente, autoridades ainda inseguras para trocar informações sobre tecnologias de segurança. ANAC pouco a contribuir., Brasil não certifica equipamentos.</t>
  </si>
  <si>
    <t>São discutidos temas inovadores em especial na área de novas tecnologias de equipamentos e soluções informatizadas. Atualmente os equipamentos automáticos de inspeção são tema recorrente. Mas temas são tratados no painel também.</t>
  </si>
  <si>
    <t>Committee on Aviation Environmental Protection (CAEP) Working Group 5 (WG5) - 1st Meeting CAEP/14</t>
  </si>
  <si>
    <t>Virtual. Discussão etanol milho. Muito assunto para acompanhar. Alteração de nome de FTG para WG5.</t>
  </si>
  <si>
    <t>Grupo elabora critérios de sustentabilidade de combustíveis de aviação a serem utilizados no CORSIA.</t>
  </si>
  <si>
    <t>AMBI1</t>
  </si>
  <si>
    <t>Determinação de LCA e ILUC</t>
  </si>
  <si>
    <t>Nova rota é inovador</t>
  </si>
  <si>
    <t>DARLAN SILVA DOS SANTOS &amp; RICARDO ANTONIO BINOTTO DUPONT</t>
  </si>
  <si>
    <t>Committee on Aviation Environmental Protection (CAEP) Working Group 5 (WG5) - 2nd Meeting CAEP/14</t>
  </si>
  <si>
    <t>Oferta para ser no Brasil. A confirmar. Discussão etanol milho. Muito assunto para acompanhar. Alteração de nome de FTG para WG5.</t>
  </si>
  <si>
    <t>Committee on Aviation Environmental Protection (CAEP) Modelling and Databases Group (MDG-FESG) - 2nd Meeting CAEP/14</t>
  </si>
  <si>
    <t>Brasil. Colaborador eventual.</t>
  </si>
  <si>
    <t xml:space="preserve">DANIEL MARCELLOS CALCADO &amp; CARLOS HENRIQUE GOMES  </t>
  </si>
  <si>
    <t>WG1 1st Meeting</t>
  </si>
  <si>
    <t>Gestão da GMAT. Transferência trabalho para SAR. PCDP DA SAR, Não vai ninguém da GMAT</t>
  </si>
  <si>
    <t>Grupo responsável pela elaboração de recomendações internacionais relacionadas a ruído de aeronaves</t>
  </si>
  <si>
    <t>Supersônicos e ruído de RPAS</t>
  </si>
  <si>
    <t>Probabilidade de apresentação de paper</t>
  </si>
  <si>
    <t xml:space="preserve">CARLOS HENRIQUE GOMES  </t>
  </si>
  <si>
    <t>Committee on Aviation Environmental Protection (CAEP) Working Group 4 (WG4) - 2nd Meeting CAEP/14</t>
  </si>
  <si>
    <t>WG2 1st Meeting</t>
  </si>
  <si>
    <t>Gestão GMAT. Participação SAR</t>
  </si>
  <si>
    <t>Cooperative Oversight for Cross-border Operations Sub Group (COCBO-SG)</t>
  </si>
  <si>
    <t>Cooperative</t>
  </si>
  <si>
    <t>Docs ICAO para permitir intercambio de curta duração, tipo Chile. Uso matricula para curtos periodos sem transferencia de responsabilidade.</t>
  </si>
  <si>
    <t>Eduardo Américo é coordenador subgruopo 1</t>
  </si>
  <si>
    <t>Council Session - 1st Meeting</t>
  </si>
  <si>
    <t>Council</t>
  </si>
  <si>
    <t>Cybersecurity Global Event</t>
  </si>
  <si>
    <t>Cybersecurity</t>
  </si>
  <si>
    <t>Conferência planejada pela OACI para tratar tendências e soluções relacionadas à segurança cibernética na aviação civil.</t>
  </si>
  <si>
    <t>Menotti Erasmo da Silva Machado e Werllen Lauton Andrade</t>
  </si>
  <si>
    <t>Advanced Air Mobility Study Group (AAM / SG6)</t>
  </si>
  <si>
    <t>AAM SG/6</t>
  </si>
  <si>
    <t>Foi priorizada em março. Santin está assumindo posição de painelista ANAC.</t>
  </si>
  <si>
    <t>COB Hydrogen Technologies - 2nd Meeting</t>
  </si>
  <si>
    <t xml:space="preserve">2st Meeting </t>
  </si>
  <si>
    <t>CWI ANAC-XXX (25.571) Crack interaction in fatigue damage scenarios for establishing inspection intervals (Provisão)</t>
  </si>
  <si>
    <t>CWI</t>
  </si>
  <si>
    <t>Seattle</t>
  </si>
  <si>
    <t>Harmonização de posicionamento técnico entre as 4 autoridades do CMT referentes a critérios de segurança para eventos relacionados a saída de pista (runway excursion).</t>
  </si>
  <si>
    <t>Relator</t>
  </si>
  <si>
    <t>ANAC é lead authority</t>
  </si>
  <si>
    <t xml:space="preserve">Discussão sobre consideração de interação de trincas em cenários de fatiga na determinação de intervalos repetitivos. (ref. AC 25.571-1D, AC 91.82A, ARAC TAMCSWG recommendation report - crack interaction) </t>
  </si>
  <si>
    <t>GUILHERME GARCIA MOMM</t>
  </si>
  <si>
    <t>Bianual. 1 ano Brasil e outro EAU. Participação ASINT,</t>
  </si>
  <si>
    <t xml:space="preserve">Flight Operations Panel (FLTOPSP/WG) </t>
  </si>
  <si>
    <t>FLTOPSP/WG</t>
  </si>
  <si>
    <t>2025PAI01SAFE013</t>
  </si>
  <si>
    <t>Colaborador eventual. Necessário incluir a organização do evento e passagem para o Secretário. Será realizado no Brasil. A previsão é de que o evento seja organizado pela Anac.</t>
  </si>
  <si>
    <t>LEANDRO SILVEIRA / EDNEI RANTHUM / SECRETÁRIO</t>
  </si>
  <si>
    <t>G35 eVTOL PEL Requirements - 1st Plenary 2025</t>
  </si>
  <si>
    <t>Treinamento e simuladores</t>
  </si>
  <si>
    <t>Desenvolvimento e aprimoramento de padrões de formação e qualificação de pilotos de eVTOL em fórum SAE, além de estabelecimento de ferramentas de monitoramento de início das operações VTOL.
Reunião com participação de autoridades de aviação civil, provedores de treinamento e fabricantes de eVTOL. Participação em 2 grupos de trabalho simulador e treinamento de pilotos.</t>
  </si>
  <si>
    <t>MARCUS VINICIUS FERNANDES RAMOS &amp; GABRIEL DAMASO MURTA</t>
  </si>
  <si>
    <t>G35 eVTOL PEL Requirements - 2nd Plenary 2025</t>
  </si>
  <si>
    <t>Managment Meeting  ANAC/EASA</t>
  </si>
  <si>
    <t>Managmente</t>
  </si>
  <si>
    <t xml:space="preserve"> 2025PAI07PAER001</t>
  </si>
  <si>
    <t>Reunião Gerencial</t>
  </si>
  <si>
    <t>G35 eVTOL PEL Requirements - Simulator - 2nd Meeting 2025</t>
  </si>
  <si>
    <t>IPA Revision</t>
  </si>
  <si>
    <t>IPA</t>
  </si>
  <si>
    <t>Reunião dara discussão técnica da próxima revisão do IPA ANAC-FAA.</t>
  </si>
  <si>
    <t>PAER4.3</t>
  </si>
  <si>
    <t>GASP-SG/16</t>
  </si>
  <si>
    <t>RASG-PA</t>
  </si>
  <si>
    <t xml:space="preserve">Pan-America Regional Aviation Safety Team (PA-RAST/66) </t>
  </si>
  <si>
    <t>PA-RAST/66</t>
  </si>
  <si>
    <t>2025PAI05SAFE001</t>
  </si>
  <si>
    <t>Miami</t>
  </si>
  <si>
    <t>Principais objetivos do grupo são obter e analisar dados de segurança; identificar questões de segurança para ação na região panamericana; recomendar objetivos de segurança, prioridades e indicadores; conduzir projetos de análise de segurança; desenvolver iniciativas de melhoria da segurança operacional e promover cooperação local/regional entre estados e indústria</t>
  </si>
  <si>
    <t>SAFE2
SAFE1</t>
  </si>
  <si>
    <t>Identificação de risco da aviação</t>
  </si>
  <si>
    <t>Paulo Nakamura</t>
  </si>
  <si>
    <t>00066.015025/2024-29</t>
  </si>
  <si>
    <t xml:space="preserve">Friction Task Force (FTF/31-1) </t>
  </si>
  <si>
    <t>Friction</t>
  </si>
  <si>
    <t>FTF/31-1 - Último trimestre de 2025, em local e formato a ser definido. Considerou-se uma PCDP e 3 dias de reunião.</t>
  </si>
  <si>
    <t>Problema nacional de pavimentos em aeroportos. Dentro dos painéis técnicos, prioridade tema pista. RBAC 154 e 153. O FTF (Friction Task Force) é grupo vinculado ao AOWG, composto de profissionais de diversas áreas, como autoridades de aviação civil, pilotos, representantes de operadores de aeródromos e de fabricantes de aeronaves.
O FTF tem como objetivo:
•	Desenvolver / atualizar as disposições existentes do Anexo 14 Vol I sobre o uso seguro e eficiente de pavimentos aeroportuários;
•	Conduzir estudos e modernizar o DOC 9137 - Parte 2 e DOC 9157 - Parte 3.
* Estabelecer procedimentos para avaliar e manter as características de atrito das superfícies de pistas de pouso e decolagens de aeródromos - DOC 9981 - PANS-AERODROMES;
•	Revisar / atualizar orientações (guias, manuais etc) sobre a superfície de pistas de pousos e decolagens de aeródromos - DOC 9157 Part 1 e Part 3 e DOC 9137 - Part 2.</t>
  </si>
  <si>
    <t>Lucius de Albuquerque Prado</t>
  </si>
  <si>
    <t>Rulemaking Task RMT.0742 on AI Trustworthiness</t>
  </si>
  <si>
    <t>Desenvolvimento de material regulatório para suporte à inteligência artificial no arcabouço da EASA. ANAC foi uma das autoridades convidadas a contribuir nese projeto, juntamente com FAA e TCCA.</t>
  </si>
  <si>
    <t>Inovação: inteligência artificial  na aviação</t>
  </si>
  <si>
    <t>ROSEMBERG ANDRÉ DA SILVA</t>
  </si>
  <si>
    <t>ICAO Regional Seminar on Environment</t>
  </si>
  <si>
    <t>Substituído pelo Aviation Climate Week</t>
  </si>
  <si>
    <t>Seminário da OACI sobre meio ambiente, que trata da implementação das medidas da Organização.</t>
  </si>
  <si>
    <t>Discussões</t>
  </si>
  <si>
    <t>International Cabin Safety Group (ICSG) - 1st Meeting</t>
  </si>
  <si>
    <t xml:space="preserve">O ICSG atua como um grupo de especialistas, fornecendo suporte à ICAO sobre questões relacionadas à segurança da cabine e auxiliando no desenvolvimento ou revisão de requisitos, material de orientação e suporte à implementação para melhorar a segurança da cabine em escala global. </t>
  </si>
  <si>
    <t>Equivalente aos outros fabricantes</t>
  </si>
  <si>
    <t>Treinamento EAD para pandemia, procedimentos pós-pandemia. Passageiros inconvenientes. Cenário pandemia.</t>
  </si>
  <si>
    <t>NORMA NATIVIDADE GOULART</t>
  </si>
  <si>
    <t>GCTA</t>
  </si>
  <si>
    <t>RTCA</t>
  </si>
  <si>
    <t xml:space="preserve">SC-239 Low Range Radar Altimeter </t>
  </si>
  <si>
    <t>O grupo tem objetivo principal revisar as normas para projeto de rádios altímetros embarcados. Tem tido como foco principal a convivência entre o serviço móvel "5G" e rádios altímetros</t>
  </si>
  <si>
    <t>Inovação: novos padrões para Radares Altímetros devido ao potencial de interferência do 5G</t>
  </si>
  <si>
    <t>SC-243, Airborne Electronic Hardware (AEH) Development Assurance - 1st Meeting</t>
  </si>
  <si>
    <t>1st Meeting
 (1o. Sem. 2025 - TBC)</t>
  </si>
  <si>
    <t>2025PAI22PAER001</t>
  </si>
  <si>
    <t>Turquia</t>
  </si>
  <si>
    <t>Ancara</t>
  </si>
  <si>
    <t>Grupo de trabalho da RTCA/Eurocae para revisão da norma DO-254, que atualmente é reconhecida como meio aceitável para o desenvolvimennto de Airborne Electronic Hardware (AEH) e já amplamente utilizada pela indústria aeronáutica.</t>
  </si>
  <si>
    <t>Inclusão de novos guidances em norma já amplamente utilizada pela indústria areonáutica.</t>
  </si>
  <si>
    <t>DIEGO PIVOTO PALMA</t>
  </si>
  <si>
    <t>00066.004906/2025-03</t>
  </si>
  <si>
    <t>SEAT Committee - 1st Meeting</t>
  </si>
  <si>
    <t>O grupo de trabalho objetiva: desenvolver relatórios técnicos da SAE (AIR, ARP, ARD e AS) para sistemas de assentos de aeronaves para minimizar ferimentos ou perda de vidas em condições de emergência e fornecer operações seguras em condições normais de voo e solo; proporcionar um fórum para o intercâmbio de informações técnicas relacionadas a assentos de aeronaves; definir as necessidades de pesquisa em projeto, avaliação, desempenho e / ou implementação de assentos de aeronaves, incluindo consideração de fatores operacionais, humanos, ergonomia e certificação que influenciam o design de assentos; aconselhar e cooperar com a indústria, governo, instituições educacionais, organizações da aviação, outros órgãos de padronização e outros comitês da SAE e seus membros em questões relacionadas aos sistemas de assentos de aeronaves; e apoiar as solicitações de autoridades reguladoras para o desenvolvimento de padrões do setor de assentos de aeronaves e relatórios técnicos da SAE que podem ser utilizados pelas autoridades no desenvolvimento de regulamentos, TSOs, políticas e orientações. Ressalta-se a importância do envolvimento contínuo da ANAC neste forum considerando importantes "questões de certificação" relacionadas a assentos, como inovações em seu projeto, como os assentos em degrau, e preocupações com tipos de lesão não completamente estudadas como lesão no pescoço e por torçao da coluna combinada com a tração da coluna. A: Certicação de tipo. ANAC, FAA, EASA, TCCA, 6 fabricantes. Special conditions resultantes de discussões do grupo. Aplicação imediata para indústria. RBAC 25. B: Requisitos não estão mudando, mas tem bastante Special Condition Associada ao assunto. C: Harmonizar requisitos, ter isonomia de mercado, reduz barreira burocrática, barreiras validação estrangeira. Afeta imediatamente a indústria. A Embraer tem sido uma das empresas que tem mais inovado em projetos de assentos, precisando discutir e cumprir com requisitos que naquele momento só se aplicam a ela, o que aumenta o risco de não padronização na cobrança para a industria nacional frente a concorrentes; D1: Apresenta material sobre os temas, opinião, fórum mais informal, todos tem voz, participam. D2: Forum dedicado para ações de rulemaking da área de assentos em cabin safety. A presença da ANAC é esperada por ser vista como uma das 4 principais autoridades de aviação civil.</t>
  </si>
  <si>
    <t>Regras para assentos de Advanced Air Mobility (AAM) vehicles</t>
  </si>
  <si>
    <t>MARCELO SOARES AMORIM</t>
  </si>
  <si>
    <t>LTAG Monitoring and Report Task Group (LMR-TG) - 1st Meeting CAEP/14</t>
  </si>
  <si>
    <t>LTAG</t>
  </si>
  <si>
    <t>Corapporteur</t>
  </si>
  <si>
    <t>Grupo responsável pela elaboração de recomendações internacionais relacionadas ao CORSIA</t>
  </si>
  <si>
    <t>AMBI1, AMBI4</t>
  </si>
  <si>
    <t>LTAG Monitoring and Report Task Group (LMR-TG) - 2nd Meeting CAEP/14</t>
  </si>
  <si>
    <t>2025PAI01AMBI006</t>
  </si>
  <si>
    <t>Ricardo Dupont</t>
  </si>
  <si>
    <t>ASME</t>
  </si>
  <si>
    <t>VVUQ 90  Verification, Validation, and Uncertainty Quantification in Computational Modeling of Airframe Structures</t>
  </si>
  <si>
    <t xml:space="preserve">5th </t>
  </si>
  <si>
    <t>Criar uma norma internacional com diretrizes para a utilização de modelagem computacional verificada e validada em projetos de certificação, em substituição a execução de determinados ensaios estruturais.</t>
  </si>
  <si>
    <t>Trust Framework Panel (TFP)</t>
  </si>
  <si>
    <t>2025 - TBD</t>
  </si>
  <si>
    <t>Formas de conexão da aeronave com tráfego aéreo</t>
  </si>
  <si>
    <t>CARLOS MELO</t>
  </si>
  <si>
    <t>WG-112 / Vertical Take Off and Landing (VTOL)</t>
  </si>
  <si>
    <t>Desenvolvimento de normas de software para  VTOL</t>
  </si>
  <si>
    <t>RPASP WG-WHL/3</t>
  </si>
  <si>
    <t>WG-72 / RTCA SC-216 (Cyber security) - 1st Meeting</t>
  </si>
  <si>
    <t>Reunião para discussão e harmonização de novos regulamentos de aeronavegabilidade para as tecnologias utilizadas nos novos veículos de mobilidade aéreos (eVTOL). Há muitos projetos em desenvolvimento, especialmente devido a uma concorrência aberta pela Uber. A Embraer é uma das concorrentes e tem um demonstrador com primeiro voo planejado para 2020. A: Necessidade de elaboração de normas para certificação de novas aeronaves para mercado emergente de veículo de mobilidade aérea (Uber, Embraer X). B: Previsão de incluir atividade de rulemaing para aeronaves eVTOL (Uber, Embraer X, etc.). C: A Embraer está desenvolvendo uma aeronave para este novo mercado em parceria com a Uber. Necessário a ANAC acompanhar as discussões em andamento para abordagens de regulamento de aeronavegabilidade a ser criado com este propósito, visando viabilizar harmonização e validação da certificação do(s) novo(s) eVTOL brasileiro no exterior. D: Por ser vista como uma das 4 maiores autoridades de aviação civil, e por ter uma indústria importante que está desnevolvendo novo projeto nessa área, é esperado que a ANAC exerça papel relevante nas discussões desses novos regulamentos e critérios com as demais autoriades e a indústria.</t>
  </si>
  <si>
    <t>Inovação: segurança cibernética na aviação</t>
  </si>
  <si>
    <t>USTDA</t>
  </si>
  <si>
    <t xml:space="preserve">Reverse Traded Mission </t>
  </si>
  <si>
    <t>Reverse</t>
  </si>
  <si>
    <t>Custeada pela USTDA. Aeroportos mais seguros.</t>
  </si>
  <si>
    <t>As atividades do Simpósio compreendem: painéis de discussão sobre a formação sustentável, melhores práticas internacionais, segurança cibernética e detecção de ameaças. Haverá também sessões dedicadas à criação de uma cultura de segurança, formação para a inspeção de segurança eficaz e combate às ameaças, além de discussões colaborativas sobre recursos de treinamento, padrões e melhores práticas, enfatizando a cooperação entre países, culturas e suas capacidades.
Já a Reverse Traded Mission a ser realizada pelo United States Trade and Development Agency (USTDA), enfatiza suas atividades em visitas técnicas aos aeroportos e às empresas de tecnologia AVSEC. Essas visitas serão muito úteis para acompanhar e atualizar-se sobre as novas tecnologias e sua aplicação/utilização pelos profissionais, auxiliando na definição da ANAC quanto ao desenvolvimento de competências para a utilização de novos equipamentos e tecnologias, bem como nos requisitos de treinamento necessários para implementar as melhores práticas internacionais pelos profissionais AVSEC brasileiros.</t>
  </si>
  <si>
    <t>MICHELLE FERREIRA SALGADO ARCÚRIO</t>
  </si>
  <si>
    <t>SAFA Ramp Inspections Coordination and Standardisation group (RICS) - 1st Meeting</t>
  </si>
  <si>
    <t>2025PAI07SAFE002</t>
  </si>
  <si>
    <t>Reunião somente com autoridades, coordenação e padronização do SAFA. O EU Ramp Inspection Programme é um programa europeu referente à realização de inspeções de rampa em aeronaves utilizadas por operadores de países terceiros (SAFA) ou utilizadas por operadores sob a supervisão de outro Estado-Membro da União Europeia (SACA). O programa prevê a inspeção de aeronaves, e são definidas com base em informações relevantes de safety coletadas pelos estados participantes do programa, ou em análises regulares da base de dados centralizada, a qual é realizada pela EASA.</t>
  </si>
  <si>
    <t>KR SOPS 2.3 e 2.5</t>
  </si>
  <si>
    <t>Padronização dos requisitos de como realizar as rampas. Ainda não é membro, pendente assinar acordo com EASA. Capacitação de servidor, designação, formulário. FAA em negociação a participação. EASA criou sistema de inspeção de rampa e chamou outras autoridades e compartilha informações de rampa e ganho de informações de empresas estrangeiras.</t>
  </si>
  <si>
    <t>Inspeção de rampa está dentro da vigilância. A idéia é padronizar, melhorar o processo.</t>
  </si>
  <si>
    <t>Ainda não é membro. Convidado. Alta probabilidade de assinar o acordo.</t>
  </si>
  <si>
    <t>JOÃO MARCELO DE CASTRO MONTEIRO</t>
  </si>
  <si>
    <t>00066.003785/2025-74</t>
  </si>
  <si>
    <t>SAFA Ramp Inspections Coordination and Standardisation group (RICS) - 2nd Meeting</t>
  </si>
  <si>
    <t xml:space="preserve">2nd Meeting </t>
  </si>
  <si>
    <t>Safety Assurance System Meeting</t>
  </si>
  <si>
    <t>Coleta de informações, práticas e experiências para aplicação de políticas de fiscalização baseada em risco com paralelo ao sistema SAS do FAA</t>
  </si>
  <si>
    <t>Essa atividade visa harmonização das metodologias de vigilância entre FAA e ANAC por meio da implementação da metorologia Safety Assurancy System (SAS) nos operadores 121, 135 e OM 145, bem como fazer a verificação do benchmark da fiscalização AAA do FAA nos operadores 121.</t>
  </si>
  <si>
    <t>vide "Detalhe 1"</t>
  </si>
  <si>
    <t>Na missão, pretende-se estabelecer torca de conhecimento e estreitamento nas relações de vigilância de aeronavegabilidade entre a ANAC e o FAA.</t>
  </si>
  <si>
    <t>LAWRENCE JOSUA FERNANDES COSTA</t>
  </si>
  <si>
    <t>GCAC / 1 GCTA</t>
  </si>
  <si>
    <t>SSG-LIPA-CCSG e SSG-LIPA-Data Protection</t>
  </si>
  <si>
    <t>SSG</t>
  </si>
  <si>
    <t>2025PAI01DINT001</t>
  </si>
  <si>
    <t>Brasil nunca participou. Grupo existe há aproximadamente 5 anos. Missão agrupada à reunião sobre demanda da IATA sobre data protection</t>
  </si>
  <si>
    <t>Secretariat Study Group RPAS/ Working Group/ Task Force</t>
  </si>
  <si>
    <t>00066.005733/2025-32</t>
  </si>
  <si>
    <t>TCCA</t>
  </si>
  <si>
    <t>TCCA - Sampling Inspection System - Brazil</t>
  </si>
  <si>
    <t>Categorizada como B em 2024</t>
  </si>
  <si>
    <t>GTOM/GCAC E GTNO/GNOS</t>
  </si>
  <si>
    <t>TCCA - Sampling Inspection System - Canada</t>
  </si>
  <si>
    <t>Trust Framework Panel (TFP/3) - Reunião 1º semestre 2025</t>
  </si>
  <si>
    <t>Trust</t>
  </si>
  <si>
    <t xml:space="preserve">Avaliar se faz sentido. Participação anterior DECEA. Previstas duas reuniões em 2025. </t>
  </si>
  <si>
    <t>O TFP é uma das partes da nova estrutura que foi criada em 2021 pela ICAO para lidar com tema de Cibersegurança, ao lado do CYSECP e AHCCC. O TFP é responsável pelo desenvolvimento de padrões e procedimentos harmonizados que permitam o intercâmbio resiliente e seguro de informações digitais entre terra-terra, ar-terra e ar-ar, e entre todas partes interessadas. Até o momento, a Anac não tem tido participação efetiva neste painel. Representante do DECEA atua como membro.</t>
  </si>
  <si>
    <t>Oscar Miyagi</t>
  </si>
  <si>
    <t>Water Aerodromes Working Group (WAWG)</t>
  </si>
  <si>
    <t>Water</t>
  </si>
  <si>
    <t xml:space="preserve">Participação Virtual. Previsão de reunião no 1º trimestre de 2025. </t>
  </si>
  <si>
    <t xml:space="preserve">Relacionado ao Job Card ADOP.026. O objetivo é suprir lacuna pela falta de especificações para aeródromos na água. A primeira entrega será uma Circular e em seguida alterações em SARPs do Anexo 14, Anexo 15, novo DOC e novos procedimentos no PANS Aerodromes. O Brasil vinha acompanhando as atividades do Grupo por meio do membro do ADWG. No entanto, a criação de novo WG e volume de trabalho requerem designação de membro específico. </t>
  </si>
  <si>
    <t>Não há regras para o tema no momento.</t>
  </si>
  <si>
    <t>LAC Annual Assembly Conference &amp; Exhibition</t>
  </si>
  <si>
    <t>LAC</t>
  </si>
  <si>
    <t>Acompanhar Diretoria</t>
  </si>
  <si>
    <t>Trata de temas relevantes, como regras de cobrança e arrecadação das tarifas aeroportuárias de embarque, conexão, pouso e permanência. Reuniões paralelas com indústria e concessionárias</t>
  </si>
  <si>
    <t>Regras de cobrança e arrecadação das tarifas aeroportuárias de embarque, conexão, pouso e permanência</t>
  </si>
  <si>
    <t>Reuniões paralelas com indústria e concessionárias</t>
  </si>
  <si>
    <t>Renan.Brandao</t>
  </si>
  <si>
    <t>Proyecto de Arreglo de colaboración para la prevención y gestión de sucesos de salud pública en la aviación civil (CAPSCA), Américas</t>
  </si>
  <si>
    <t>CAPSCA/09</t>
  </si>
  <si>
    <t>SFI</t>
  </si>
  <si>
    <t>Mar/Abr</t>
  </si>
  <si>
    <t>Discussão sobre parâmetros de saúde e requisitos médicos relacionados à aviação mundial. Exames que pilotos e tripulação para voar em outro país, vacinas necessárias. Public Health Corridors: acordo entre países. ANAC participa desde 2009. Fórum existe desde 2005. A participação no Projeto de Arreglo de Colaboración para la Prevención y Gestión de Sucesos de Salud Pública en la Aviación Civil (CAPSCA), coordenado pela ICAO SAM, é crucial. O projeto foca na gestão de crises de saúde pública na aviação civil, ajudando a antecipar e mitigar ameaças que podem afetar a segurança e operação do transporte aéreo. Alinhada à Política Nacional de Inteligência (PNI) e à Portaria de Organização Interna (POI) da Superintendência de Inteligência e Ação Fiscal (SFI), fortalece suas capacidades de resposta rápida e cooperação internacional, garantindo a segurança da aviação em cenários de emergências de saúde pública.</t>
  </si>
  <si>
    <t>No simpósio será formalizado padrões e requisitos a serem seguidos, acordo internacional para estabelecer requisitos. Tem que cumprir CAPSCA para liberação. OMS e OACI acordo de cooperação. Emergência de saúde pública.</t>
  </si>
  <si>
    <t>ermergencia saúde pública regional</t>
  </si>
  <si>
    <t xml:space="preserve">FAA </t>
  </si>
  <si>
    <t>Special Emphasis Investigations Team (SEIT) Technical Visit (FAA)</t>
  </si>
  <si>
    <t>N/A</t>
  </si>
  <si>
    <t>Agendamento: o ponto de contato no FAA é o Mike Boler (Mike.Boler@faa.gov).
Em razão da limitação dos recursos orçamentários, decide-se por degradar a missão SEIT para prioridade B.</t>
  </si>
  <si>
    <t>Última visita técnica foi realizada pela área de ação fiscal e em tratativas posteriores no âmbito da SFI avaliou-se a necessidade de composição da equipe para nova visita com a  incluir de pessoal da área de julgamento, considerando a possibilidade de benchmark com o julgamento SEIT.</t>
  </si>
  <si>
    <t>Symposium on Assistance to Aircraft Accident Victims and their Families (AAAVF)</t>
  </si>
  <si>
    <t>Symposium</t>
  </si>
  <si>
    <t>Tema sensível, ainda pendente posicionamento ANAC para levar para ICAO. Grupo desde 2012 aperfeiçoamento temas assistência a vitimas e familiares. Pressão de associações de familiares e sociedade para elaboração de políticas e regulamentos para prever assistência. 1o doc Resolução, depois Circular, Manual com recomendações. Transformar em standards nesse simpósio, mandaório para Estados Membros</t>
  </si>
  <si>
    <t>Pode apresentar material</t>
  </si>
  <si>
    <t xml:space="preserve">Pan-America Regional Aviation Safety Team (PA-RAST/67) </t>
  </si>
  <si>
    <t>Pan</t>
  </si>
  <si>
    <t>2025PAI05SAFE002</t>
  </si>
  <si>
    <t>Tentar assumir vice cochair (existe indústria e autoridade)</t>
  </si>
  <si>
    <t>Paulo Nakamura
Francisco Gabão</t>
  </si>
  <si>
    <t>00066.003268/2025-03</t>
  </si>
  <si>
    <t>CAAFI (Commercial Aviation Alternative Fuels Initiative) bi-annual meeting</t>
  </si>
  <si>
    <t>CAAFI</t>
  </si>
  <si>
    <t>Conexão SAF</t>
  </si>
  <si>
    <t>Reunião bi-anual da CAAFI, iniciativa dos EUA que reune os principais atores do setor de combustíveis sustentáveis para aviação, incluindo governo, indústria e academia, em um cenário internacional.</t>
  </si>
  <si>
    <t>TIAGO CUNICO CAMARA</t>
  </si>
  <si>
    <t>CIACs Regional Meeting</t>
  </si>
  <si>
    <t>CIACs</t>
  </si>
  <si>
    <t>Aline ponto focal Trainair</t>
  </si>
  <si>
    <t>Alinhamento das ações de capacitação regionais (SAM) entre os Estados e o GAT/OACI, bem como ajustes na oferta de cursos TAIANIR e na política de capacitação da OACI para a região.</t>
  </si>
  <si>
    <t>Coordenação Brasil</t>
  </si>
  <si>
    <t>ANDRE LEONARDO E ALINE SOUSA</t>
  </si>
  <si>
    <t>Gestão GMAT.  Participação SIA. DECEA também está envolvido.</t>
  </si>
  <si>
    <t>Grupo no qual são estipuladas recomendações internacionais de proteção ambiental de aeroportos e operações.</t>
  </si>
  <si>
    <t>AMBI5</t>
  </si>
  <si>
    <t>Material?</t>
  </si>
  <si>
    <t xml:space="preserve">LUCIANO LOPES DE AZEVEDO FREIRE  </t>
  </si>
  <si>
    <t>Committee on Aviation Environmental Protection (CAEP) Working Group 2 (WG2) - 2nd Meeting CAEP/14</t>
  </si>
  <si>
    <t>IMRBPB</t>
  </si>
  <si>
    <t>International Maintenance Review Board Policy Board Meeting</t>
  </si>
  <si>
    <t>2025PAI19PAER001</t>
  </si>
  <si>
    <t>Foi priorizada em março. Pode impactar aplicabilidade do IPA FAA.</t>
  </si>
  <si>
    <t>Dubai</t>
  </si>
  <si>
    <t>Não relacionado a OKR. Objetivo específico para manutenção de reconhecimento internacional de ações de aeronavegabilidade continuada.</t>
  </si>
  <si>
    <t>SERGIO HENRIQUE BORGES DA CRUZ</t>
  </si>
  <si>
    <t>00066.003722/2025-18</t>
  </si>
  <si>
    <t>Macrotarefa</t>
  </si>
  <si>
    <t>O Brasil é o coordenador do macrotema Meio Ambiente</t>
  </si>
  <si>
    <t xml:space="preserve">Grupo de Expertos em Asuntos Políticos, Económicos y Jurídicos del Transporte Aéreo (GEPEJTA/59) </t>
  </si>
  <si>
    <t>Participação da SAR também</t>
  </si>
  <si>
    <t>Não identificada relação com OKRs vigentes.</t>
  </si>
  <si>
    <t>EDUARDO MORAIS</t>
  </si>
  <si>
    <t>Reunión del Panel de Expertos en Operaciones y Mercancías Peligrosas (RPEO/19)</t>
  </si>
  <si>
    <t>RPEO/19</t>
  </si>
  <si>
    <t>Participação de 1 servidor Ednei em 2024. Leonardo participou virtual.</t>
  </si>
  <si>
    <t>Reunião principal dos Paineis de Operações e de Artigos Perigosos do SRVSOP em que são discutidos aspectos referentes a diversos LAR, tais como: LAR 91, LAR 121, LAR 135, LAR 175, dentre outros.</t>
  </si>
  <si>
    <t>São discutidos aspectos técnicos relacionados ao LAR 175, sem discussões sobre inovações. O assunto não consta na agenda regulatória do biênio.</t>
  </si>
  <si>
    <t>Servidor é membro do painel de artigos perigosos</t>
  </si>
  <si>
    <t>Reunião impacta diretamente o LAR 175,  RBAC 175 e suas IS.</t>
  </si>
  <si>
    <t>EDNEI RANTHUM DO AMARAL / LEONARDO CASCARDO</t>
  </si>
  <si>
    <t>Reunión del Panel de Expertos en Aeródromos (RPEAGA/18)</t>
  </si>
  <si>
    <t>Ainda sem data prevista. Suplente, Vagner Neto. Parte da reunião será realizada de forma virtual (preparação) e parte presencial.</t>
  </si>
  <si>
    <t>Não realizada em 2024. Fiscalização e certificação</t>
  </si>
  <si>
    <t>O evento constitui-se em reunião ordinária, neste caso a Reunião do Painel de Especialistas em AGA do SRVSOP. Nessas reuniões se discute principalmente a apropriação, dos regulamentos latino americanos (LAR), às emendas ao Anexo 14 da OACI e PANS-AGA.</t>
  </si>
  <si>
    <t>RBAC 154 e 153. LAR 77 que vai dar origem ao RBAC 77 (atividades não exercidas por agente regulado da ANAC)</t>
  </si>
  <si>
    <t>Modelo de manuais. BR é referência.</t>
  </si>
  <si>
    <t>Marcelo Koiti Asakura (Membro Oficial)
e Advisor (a definir)</t>
  </si>
  <si>
    <t>TRAINAIR PLUS Steering Committee (TPSC)</t>
  </si>
  <si>
    <t>TRAINAIR</t>
  </si>
  <si>
    <t>Processo de transição para Mariana como membro</t>
  </si>
  <si>
    <t>TBD</t>
  </si>
  <si>
    <t>CAPA1.2</t>
  </si>
  <si>
    <t>Levar material?</t>
  </si>
  <si>
    <t>MARIANA DALCANALE E ANDRÉ LEONARDO</t>
  </si>
  <si>
    <t>VIRTUAL - Calçaco é co-lider de uma tarefa</t>
  </si>
  <si>
    <t>AMBI3</t>
  </si>
  <si>
    <t>Não é inovador, mas está na agenda regulatória</t>
  </si>
  <si>
    <t xml:space="preserve">Estabelecimento do plano de trabalho. </t>
  </si>
  <si>
    <t xml:space="preserve">DANIEL MARCELLOS CALCADO &amp; LUCIANO LOPES DE AZEVEDO FREIRE </t>
  </si>
  <si>
    <t xml:space="preserve">Global Airport Development Conference </t>
  </si>
  <si>
    <t>Os participantes terão a oportunidade de ouvir e discutir com os demais participantes como os países e regulados estão lidando com os desafios atuais e aprender novas soluções para segurança, desenvolvimento de serviços aéreos comerciais e de infraestrutura e questões de financiamento do setor.
A agenda inclui conversas bilaterais com representantes de organizações como FAA, IATA, ICAO e outras entidades de aviação. A participação é altamente incentivada, pois promove uma maior colaboração entre diversos regulados na região em temas essenciais para a agenda de concessões aeroportuárias do Brasil, como evolução do modelo de PPP, lições dos últimos anos, e dinâmica do mercado regional de infraestrutura aeroportuária e potencialidades para o mercado.</t>
  </si>
  <si>
    <t>Helicopter Subgroup (HSG) FLTOPSP</t>
  </si>
  <si>
    <t>Helicopter</t>
  </si>
  <si>
    <t>Inclusão de representante SPO</t>
  </si>
  <si>
    <t xml:space="preserve">Painel </t>
  </si>
  <si>
    <t>O FLTOPSP realizará estudos específicos e desenvolverá disposições técnicas e operacionais da ICAO relacionadas a operações de voo e registradores de voo.</t>
  </si>
  <si>
    <t xml:space="preserve">Membro Oficial </t>
  </si>
  <si>
    <t>FELIPE GONZAGA</t>
  </si>
  <si>
    <t>Visita Técnica</t>
  </si>
  <si>
    <t>Visita</t>
  </si>
  <si>
    <t>Padronização CIAC e validade de licença. Tem OKR e não tem missão.</t>
  </si>
  <si>
    <t>Evento dedicado a familiarização dos práticas e procedimentos adotados por CIAC aprovados pela FAA</t>
  </si>
  <si>
    <t>Eduardo Chaffim e Jean Schmidt</t>
  </si>
  <si>
    <t>SPL/GFOP</t>
  </si>
  <si>
    <t xml:space="preserve">Flight Safety Foundation - "Board of Governors" </t>
  </si>
  <si>
    <t>2025PAI35ECON001</t>
  </si>
  <si>
    <t>A participação na Board od Governors gera uma expectativa de que as viagens sejam custeadas pela FSF</t>
  </si>
  <si>
    <t>GARTNER</t>
  </si>
  <si>
    <t>CIOs and IT Executives™ IT Symposium</t>
  </si>
  <si>
    <t>CIOs</t>
  </si>
  <si>
    <t>STD</t>
  </si>
  <si>
    <t>Transformação Digital</t>
  </si>
  <si>
    <t>2 licenças do Gartner. Revisão orçamento 2025 para rever qtde de licença.</t>
  </si>
  <si>
    <t>Contrato aconselhamento projetos de TI para adaptação pela agência. Voucher para inscrição está garantido pelo contrato.</t>
  </si>
  <si>
    <t xml:space="preserve">FERNANDO ANDRE COELHO MITKIEWICZ
FELIPE SANTOS 
</t>
  </si>
  <si>
    <t>G35 eVTOL PEL Requirements - Training - 1st Meeting 2025</t>
  </si>
  <si>
    <t>G35 eVTOL PEL Requirements - Training - 2nd Meeting 2025</t>
  </si>
  <si>
    <t>Global Aviation and Aerospace Skills Taskforce (GAAST)</t>
  </si>
  <si>
    <t>TIRAR DO PAI E COLOCAR NO PROJETO PRIORITÁRIO</t>
  </si>
  <si>
    <t>Discutir e propor melhores práticas e orientações sobre o futuro da força de trabalho no setor aeronáutico.</t>
  </si>
  <si>
    <t>Rogério Cyriaco</t>
  </si>
  <si>
    <t>Pan-America Regional Aviation Safety Group  Executive Steering Committee (ESC/40)</t>
  </si>
  <si>
    <t>ESC/40</t>
  </si>
  <si>
    <t>2025PAI05SAFE003</t>
  </si>
  <si>
    <t>Desenvolver e aprovar o plano de trabalho do RASG-PA (objetivos, prioridades, indicadores) para endereçar questões de segurança operacional na região; estabelecer grupos de trabalho e comitês com duração pré-determinada e supervisionar os trabalhos utilizando uma abordagem de gerenciamento de projetos; aprovar projetos e documentos produzidos pelo RASG-PA; e aprovar e gerenciar o orçamento.</t>
  </si>
  <si>
    <t>RAST grupo de trabalho técnico que identifica o problema. RASG comitê executivo que vai deliberar proposta de mitigação do problema identificado.</t>
  </si>
  <si>
    <t>00066.004048/2025-99</t>
  </si>
  <si>
    <t>TSA</t>
  </si>
  <si>
    <t>International Training Symposium (ITS)</t>
  </si>
  <si>
    <t>Custeado pelo TSA. Aeroportos mais seguros.</t>
  </si>
  <si>
    <t xml:space="preserve">A </t>
  </si>
  <si>
    <t xml:space="preserve">O International Training Symposium (ITS) é um marco significativo, reunindo mais de 140 parceiros da aviação mundial para compartilhar a excelência na formação em segurança da aviação civil contra atos de interferência ilícita (AVSEC). O objetivo do ITS é promover a vigilância, a motivação e a capacidade de resposta, alinhando-se às iniciativas globais que visam garantir a livre circulação do público no transporte aéreo.
</t>
  </si>
  <si>
    <t>JARUS Spring Plenary Meeting</t>
  </si>
  <si>
    <t>Suma relevância dada a inserção do SORA na legislação ANAC</t>
  </si>
  <si>
    <t>Reunião Técnica</t>
  </si>
  <si>
    <t>Discussões acerca da implementação do pacote SORA 2.5 e Memorandos de Ententendimento</t>
  </si>
  <si>
    <t>Inovação: certificação de aeronaves não tripuladas.</t>
  </si>
  <si>
    <t>JARUS provê material guia para facilitar a produção de regulamentos por cada autoridade de forma mais harmonizada.</t>
  </si>
  <si>
    <t>Long Term Forecast (LTF)</t>
  </si>
  <si>
    <t>Long</t>
  </si>
  <si>
    <t>Em 2024 aconteceu em Brasília.</t>
  </si>
  <si>
    <t>Grupo de análises estatísicas da ICAO. Trabalha com forecast. Base da projeção de outros painéis. Tratará de projeções/cenários. Seria mais uma atuação no sentido de conhecer a metodologia da ICAO que será apresentada para fins de aplicação estratégica em cenários da agência.</t>
  </si>
  <si>
    <t>Projeto de digitalização OACI</t>
  </si>
  <si>
    <t>Projeto</t>
  </si>
  <si>
    <t>Não realizado em 2024.</t>
  </si>
  <si>
    <t>Apoiar na digitalização da OACI. Demanda do Assunção para auxílio do Fernando nos processos e serviços digitais.</t>
  </si>
  <si>
    <t>SUPERINTENDENTE</t>
  </si>
  <si>
    <t>WCO</t>
  </si>
  <si>
    <t>Regional Focal Point meeting of the COLIBRI Project</t>
  </si>
  <si>
    <t>Regional</t>
  </si>
  <si>
    <t>Sem custo para ANAC, apenas seguro saúde. Projeto custeado pelo OMA - Organização Mundial das Aduanas. Participação de 2 PCDPs.</t>
  </si>
  <si>
    <t>Projeto custeado pelo OMA - Organização Mundial das Aduanas e possui participação ativa da SFI.</t>
  </si>
  <si>
    <t>Reunião do grupo F46 - Aircraft Personal</t>
  </si>
  <si>
    <t>Grupo novo. Mesmo raciocínio SAR, RPASP</t>
  </si>
  <si>
    <t>Grupo de Trabalho</t>
  </si>
  <si>
    <t>Grupo da ASTM discutindo os currículos mínimos para diferentes profissionais e endossos em especial de mecânicos.</t>
  </si>
  <si>
    <t>Membro</t>
  </si>
  <si>
    <t>PEDRO DI DONATO</t>
  </si>
  <si>
    <t xml:space="preserve">Plenary Meeting </t>
  </si>
  <si>
    <t>15th</t>
  </si>
  <si>
    <t>Bernardo e Nakamura</t>
  </si>
  <si>
    <t>Grupo colaborativo entre estados e indústria. Recomendações de ações para implementação. Tem como objetivos: 
- Apoiar o estabelecimento e a operação de um sistema de segurança da aviação baseado em desempenho na Região Pan-Americana.
- Apoiar as regiões NACC e SAM no estabelecimento de objetivos, prioridades, indicadores e na definição de metas mensuráveis para resolver deficiências relacionadas com a segurança em cada região, garantindo ao mesmo tempo a consistência da ação e a coordenação dos esforços.</t>
  </si>
  <si>
    <t>Reunião de gestão para apuração de resultados</t>
  </si>
  <si>
    <t>Bernardo Tomaz de Castro
Paulo Nakamura</t>
  </si>
  <si>
    <t>Security Week: AVSEC &amp; CYBERSEC</t>
  </si>
  <si>
    <t>Relavância do evento</t>
  </si>
  <si>
    <t xml:space="preserve">O ICAO Security Week aborda diversos aspectos da segurança na aviação, incluindo cibersegurança e questões emergentes. O evento discute a resiliência da infraestrutura crítica da aviação civil contra ameaças passadas, novas e emergentes, com sessões sobre zonas de conflito, segurança de carga, fatores humanos, cibersegurança, sistemas de aeronaves não tripuladas e interrupções causadas por brechas em aeroportos. Exposição interativa com representantes de Estados, fabricantes, aeroportos, companhias aéreas e outras indústrias relacionadas à aviação e segurança. </t>
  </si>
  <si>
    <t>Tárik Pereira de Souza (Rapporteur do WGT)
e Giovano Palma</t>
  </si>
  <si>
    <t>Latin America Technical Cooperation Mission</t>
  </si>
  <si>
    <t>Latin</t>
  </si>
  <si>
    <t>Cooperação técnica</t>
  </si>
  <si>
    <t>LORENNA</t>
  </si>
  <si>
    <t>Technical Cooperation Meeting - Angola</t>
  </si>
  <si>
    <t>Angola</t>
  </si>
  <si>
    <t>Meio ambiente. Custeado pela Angola. Meia diária. Participação 2 PCDPs</t>
  </si>
  <si>
    <t>Intercâmbio em Linguística aplicada à aviação</t>
  </si>
  <si>
    <t>Intercâmbio</t>
  </si>
  <si>
    <t>Capacitação. Custeada pela ICAO</t>
  </si>
  <si>
    <t>Propõe-se intercâmbio para servidora com formação e experiência no campo da Tradução,
Terminologia, Linguística e Língua Inglesa, para atuar diretamente na ICAO, numa via de mão
dupla, oferecendo expertise a fim de fortalecer a capacidade linguística da Organização e ao
mesmo tempo capacitar a representante da ANAC.</t>
  </si>
  <si>
    <t>Intercambista</t>
  </si>
  <si>
    <t>CAPA2.4</t>
  </si>
  <si>
    <t>FERNANDA ALVES</t>
  </si>
  <si>
    <t>Missão de apoio e/ou cooperação técnica na área AGA no âmbito do SRVSOP</t>
  </si>
  <si>
    <t>Missão</t>
  </si>
  <si>
    <t>Evento sem custo de PCDP para Anac. Previsão de pelo menos uma missão de especialista AGA da Anac em atividades do SRVSOP.</t>
  </si>
  <si>
    <t>Cooperação Técnica. Ação com objetivo de fortalecer a capacidade institucional e técnica da Anac, compartilhando melhores práticas e/ou fomentar integração regional do transporte aéreo na região sul-americada.</t>
  </si>
  <si>
    <t>Especialista</t>
  </si>
  <si>
    <t>Missão de apoio e/ou cooperação técnica na área AVSEC em âmbito Regional ou Global</t>
  </si>
  <si>
    <t>Evento sem custo de PCDP para Anac. Previsão de pelo menos uma missão de especialista AVSEC da Anac.</t>
  </si>
  <si>
    <t>Missão de apoio e/ou cooperação técnica na área FAL em âmbito Regional ou Global</t>
  </si>
  <si>
    <t>Evento sem custo de PCDP para Anac. Previsão de pelo menos uma missão de especialista em FAL da Anac.</t>
  </si>
  <si>
    <t xml:space="preserve">9th  </t>
  </si>
  <si>
    <t>Brasil . Participação 2 PCDPs</t>
  </si>
  <si>
    <t>Comitê trata das medidas para mitigação de impacto de emergências de saúde pública, incluindo planos de emergência em aeródromos e exercícios simulados de eventos. Tem relação com Facilitação.</t>
  </si>
  <si>
    <t>Observador</t>
  </si>
  <si>
    <t>Não elabora requisitos</t>
  </si>
  <si>
    <t>Considerou-se possível atuação como palestrante</t>
  </si>
  <si>
    <t xml:space="preserve">Pan-America Regional Aviation Safety Team (PA-RAST/68) </t>
  </si>
  <si>
    <t>Study Group on the USAP (SSG)</t>
  </si>
  <si>
    <t>Study</t>
  </si>
  <si>
    <t>OKR relacionado. Em 2024 a reunião ocorreu em conjunto com AVSECP/WGA17</t>
  </si>
  <si>
    <t>Alteração indicadores pela ICAO, diminuindo a nota USAP ANAC</t>
  </si>
  <si>
    <t>Universal Safety Audit Programme Continuous Monitoring Approach (USOAP-CMA)</t>
  </si>
  <si>
    <t>Universal</t>
  </si>
  <si>
    <t>Evento sem custo de PCDP para Agência. Previsão de participação em uma auditoria USOAP. Depende de demanda da ICAO.</t>
  </si>
  <si>
    <t>Contribuição para auditoria no Brasil. Participação no programa pode trazer em benefício do Brasil, em expertise técnica de segurança.</t>
  </si>
  <si>
    <t>Universal Security Audit Programme Continuous Monitoring Approach (USAP-CMA)</t>
  </si>
  <si>
    <t>Evento sem custo de PCDP para Agência. Previsão de participação em uma auditoria USAP. Depende de demanda da ICAO.</t>
  </si>
  <si>
    <t>Luiz Gustavo Silva Cavallari
e
Diana Helena Ferreira</t>
  </si>
  <si>
    <t>OACI</t>
  </si>
  <si>
    <t>ICAO AVSEC National Inspectors Course SP </t>
  </si>
  <si>
    <t>2025PAI01CTEC002</t>
  </si>
  <si>
    <t>x</t>
  </si>
  <si>
    <t>JACKSON WELLINGTON DE JESUS PINHEIRO</t>
  </si>
  <si>
    <t>00066.003428/2025-14</t>
  </si>
  <si>
    <t>Facilitation Panel (FALP/14)</t>
  </si>
  <si>
    <t>FALP/14</t>
  </si>
  <si>
    <t>2025PAI01FACI001</t>
  </si>
  <si>
    <t>Participação SAS?</t>
  </si>
  <si>
    <t>Impactos do COVID; Compartihamento de Informações de Passageiros; Documentos de Viagens; Documento Comprobatório de Vacinação</t>
  </si>
  <si>
    <t>FACI1.2-Buscar tornar o modelo brasileiro para o tratamento dispensado a passageiros indisciplinados em voos de/para Brasil referência no âmbito da OACI</t>
  </si>
  <si>
    <t>Ex. Impactos do COVID; Compartihamento de Informações de Passageiros; Documentos de Viagens; Documento Comprobatório de Vacinação</t>
  </si>
  <si>
    <t>Diana Helena Ferreira (Membro Oficial)
Werllen Lauton Andrade (Membro Alterno)</t>
  </si>
  <si>
    <t>2 servidores SIA + 2 servidores SAS</t>
  </si>
  <si>
    <t>Air Services Consultation Meeting - Latin America e Caribe Country X</t>
  </si>
  <si>
    <t xml:space="preserve">Latin America e Caribe </t>
  </si>
  <si>
    <t>Negociações com Caribe para atingir mercado americano</t>
  </si>
  <si>
    <t>Air Services Consultation Meeting - Latin America e Caribe Country Y</t>
  </si>
  <si>
    <t>Bolivia</t>
  </si>
  <si>
    <t>GCAA</t>
  </si>
  <si>
    <t>Bilateral Technical Arrangement ANAC-GCAA (United Arab Emirates)</t>
  </si>
  <si>
    <t>Caso necessária, deverá ser prioridade. No momento não há plano de executar essa missão, somente se o Acordo não for concluído em Fev-25.</t>
  </si>
  <si>
    <t>Elaboração do Technical Arrangement entre ANAC e GCAA para certificação de produtos.</t>
  </si>
  <si>
    <t>GTNI/GTPR</t>
  </si>
  <si>
    <t>Article 12 (Rules of the air) Task Force - 2nd Meeting</t>
  </si>
  <si>
    <t>Possibilidade de 1 ou 2 reuniões virtuais.</t>
  </si>
  <si>
    <t>Implementação na OACI mecanismo de reporte e notificação de infração no espaço aéreo de um país por operador de outro país. Decorrência do Caso Gol-Legacy. Brasil coordena o grupo para a elaboração da ferramenta</t>
  </si>
  <si>
    <t>Membro oficial (e chairperson do LC) e Coordenador de subgrupo</t>
  </si>
  <si>
    <t>Reunião item do Programa de Trabalho do Legal Committee demanda do Conselho sobre IETC Mex Convention</t>
  </si>
  <si>
    <t xml:space="preserve">Demanda do Conselho programa trabalho Comitê Jurídico. Pode ser virtual ou junto com Assembleia, sem definição. </t>
  </si>
  <si>
    <t>Acompanhar e contribuir com a solução do problema apresentado pelo Conselho ao LC sobre o destino do Comitê IETC da Convenção de Marcação de Explosivos</t>
  </si>
  <si>
    <t>Alice serpa braga Della Nina</t>
  </si>
  <si>
    <t>Safe Carriage of Goods Specific Working Group of the Flight Operations Panel (FLTOPSP/SCG-SWG) - Panel Meeting</t>
  </si>
  <si>
    <t>SCGSWG/2</t>
  </si>
  <si>
    <t>Em definição se haverá em 2025. Em análise futuro do grupo, enfraquecendo.</t>
  </si>
  <si>
    <t>Discute sobre os requisitos para procedimentos de emergência, requisitos para compartimentos de cargas de aeronaves, medidas de mitigação para o transporte de baterias de litio dentre outros assuntos multidisciplinares entre o DGP, FLTOPS E AIRP</t>
  </si>
  <si>
    <t>High-level meeting on environment</t>
  </si>
  <si>
    <t>High</t>
  </si>
  <si>
    <t>Ainda não está presente na Agenda, mas como tem Assembleia, deve ter alguma reunião de Meio Ambiente. 1 GMAT + 1 DIRETORIA</t>
  </si>
  <si>
    <t>Reunião de alto nível para avançar e preparar as discussões sobre meio ambiente da 43ª Assembleia da OACI</t>
  </si>
  <si>
    <t>Interchange Agreement - Peru</t>
  </si>
  <si>
    <t>Interchange</t>
  </si>
  <si>
    <t>Visita em 2024. Tentativa de realizar interchange em outro evento</t>
  </si>
  <si>
    <t>Solicitada pela Latam</t>
  </si>
  <si>
    <t>KR SAIR1.2</t>
  </si>
  <si>
    <t>Safe Carriage of Goods Specific Working Group of the Flight Operations Panel - Working Group Meeting (FLTOPSP/SCG-SWG)</t>
  </si>
  <si>
    <t>SCGSWG-WG/14</t>
  </si>
  <si>
    <t>Coordenação UDVDs participantes. Considerou-se uma PCDP para servidor Oscar Miyagi. Servidora nathalia Oliveira atualmente lotada na Diretoria.</t>
  </si>
  <si>
    <t>Agenda regulatória</t>
  </si>
  <si>
    <t>Oscar Miyagi
e
Nathalia Cardoso de Oliveira</t>
  </si>
  <si>
    <t>F-44 General Aviation Aircraft (General) - 2nd Meeting</t>
  </si>
  <si>
    <t>F-44-50 General Aviation Aircraft (Safety) - 1st Meeting</t>
  </si>
  <si>
    <t>F-44-50 General Aviation Aircraft (Safety) - 2nd Meeting</t>
  </si>
  <si>
    <t>Reunião com membros SRVSOP que aderiram ao acordo de manutenção aeronáutica</t>
  </si>
  <si>
    <t>Tentar discutir em algum fórum específico. Revisão do texto do acordo de manutenção aeronautica SRVSOP</t>
  </si>
  <si>
    <t>Reuniao para avaliar/propor revisão do acordo de manutenção SRVSOP</t>
  </si>
  <si>
    <t>O: SAIR2
KR: não tem um KR vigente, poderia ser criado um referente ao acompanhamento do acordo</t>
  </si>
  <si>
    <t>Trata de acordo que possibilita a certificação multinacional de organizações de manutenção por meio do SRVSOP</t>
  </si>
  <si>
    <t>A implementação do acordo em questão atualmente é objeto de meta setorial</t>
  </si>
  <si>
    <t>O membro da agência apresentará proposta de procedimento a ser implementado por todos os estados participantes do acordo</t>
  </si>
  <si>
    <t>O membro da Agência é o representante técnico da ANAC no acordo.</t>
  </si>
  <si>
    <t>ÁUREO VASCONCELOS / o outro seria da GCAC</t>
  </si>
  <si>
    <t>GTNO/GNOS E GTOM/GCAC</t>
  </si>
  <si>
    <t>Airport Technical Visit</t>
  </si>
  <si>
    <t>Visita técnica a aeroporto americano, em contrapartida as visitas técnicas realizadas pleo TSA no Brasil</t>
  </si>
  <si>
    <t>EDUARDO BATISTA NUNES</t>
  </si>
  <si>
    <t>Airport Technical Visit - Country X</t>
  </si>
  <si>
    <t>Country X</t>
  </si>
  <si>
    <t xml:space="preserve">6a rodada </t>
  </si>
  <si>
    <t>A missão visa fazer visita técnica em aeroporto a ser definido, a fim de compartilhar experiências de modelos regulatórios de aeroportos, tendo em vista os novos desafios para a infraestrutura aeroportuária do Brasil.</t>
  </si>
  <si>
    <t>visita técnica</t>
  </si>
  <si>
    <t>CGE III
CGE IV
CGE IV</t>
  </si>
  <si>
    <t>ALEXANDRE BARBOSA VIANA</t>
  </si>
  <si>
    <t>COB Hydrogen Technologies - 3rd Meeting</t>
  </si>
  <si>
    <t xml:space="preserve">3st Meeting </t>
  </si>
  <si>
    <t>Dronesquad - Transferability - 2025 2nd Meeting</t>
  </si>
  <si>
    <t>2025PAI34PAER004</t>
  </si>
  <si>
    <t>Priorizada sobre a missão "Joint Authorities for Rulemaking on Unmanned Systems (JARUS) 2nd Plenary".</t>
  </si>
  <si>
    <t>Toronto</t>
  </si>
  <si>
    <t>00066.005619/2025-11</t>
  </si>
  <si>
    <t>Flight Operations Panel (FLTOPSP/12)</t>
  </si>
  <si>
    <t>FLTOPSP/12</t>
  </si>
  <si>
    <t>Confirmar se haverá 2 reuniões no ano</t>
  </si>
  <si>
    <t>LEANDRO SILVEIRA / EDNEI RANTHUM</t>
  </si>
  <si>
    <t>G-35 Modeling, Simulation, Training for Emerging AV Tech - SC #3 Pilot Training and Licensing - 1st Meeting</t>
  </si>
  <si>
    <t>Grupo mencionado no painel de licenças da AAM Conference 2023. Trata de discussão e elaboração de normas para padrões de treinamento e licenças de piloto para AAM, incluindo eVTOL.</t>
  </si>
  <si>
    <t>Inovação: licenças e treinamento p/ eVTOL</t>
  </si>
  <si>
    <t>G-35 Modeling, Simulation, Training for Emerging AV Tech - SC #3 Pilot Training and Licensing - 2nd Meeting</t>
  </si>
  <si>
    <t>Personnel Training and Licensing Panel - Working Group 1 - Automation (PTLP/6)</t>
  </si>
  <si>
    <t>Não prevista em 2024</t>
  </si>
  <si>
    <t>Discussão de problemas relacionados a automação. Atualmente o representante da SAR participa dos comitês de automação (geral), premissas de fabricantes e gerenciamento de trajetória de voo.</t>
  </si>
  <si>
    <t>AILTON JOSE DE OLIVEIRA JUNIOR</t>
  </si>
  <si>
    <t>SAE G-34 / EUROCAE WG-114 - Artificial Intelligence in Aviation</t>
  </si>
  <si>
    <t>1st Meeting
 (MAR/2025 - TBC)</t>
  </si>
  <si>
    <t>Juntamente com o grupo de trabalho G-34 da SAE, o grupo de trabalho WG-114 está compondo a norma ARP-6983/ED-324 com o intuito de ser usada como meio de cumprimento de requisitos na certificação de produtos aeronáuticos que façam uso de IA.</t>
  </si>
  <si>
    <t>DIEGO PIVOTO PALMA
/
ROSEMBERG ANDRÉ DA SILVA</t>
  </si>
  <si>
    <t>3rd  Meeting
 (DEZ/2025 - TBC)</t>
  </si>
  <si>
    <t>SC-243, Airborne Electronic Hardware (AEH) Development Assurance - 2nd Meeting</t>
  </si>
  <si>
    <t>2nd Meeting
 (2o. Sem. 2025 - TBC)</t>
  </si>
  <si>
    <t>WG-112 (WG-112 / Vertical Take Off and Landing (VTOL)), SG-06 (Avionics)</t>
  </si>
  <si>
    <t>WG-112 / Vertical Take Off and Landing (VTOL), SG-01 (Electrical)</t>
  </si>
  <si>
    <t>WG-112 / Vertical Take Off and Landing (VTOL), SG-09 (Electromagnetic Hazards)</t>
  </si>
  <si>
    <t>RODRIGO VIEIRA MACHADO</t>
  </si>
  <si>
    <t>WG-116 / High Voltage Systems and Components in Aviation</t>
  </si>
  <si>
    <t>Technical/Benchmarking Meeting (air operator RBAC 121)</t>
  </si>
  <si>
    <t>Priorizada como B em 2024. Está presente há muitos anos no PAI.</t>
  </si>
  <si>
    <t>Como outras autoridades lidam com o processo de certificação. Existe uma expectativa de que a quantidade de certificações de novos operadores 121 aumente nos próximos anos. O conhecimento de melhores práticas de autoridades de aviação civil pode ser utilizado para revisar o processo de certificação, de forma que etapas críticas sejam aprimoradas, ao mesmo tempo que etapas que agregam menos valor em safety podem ser eliminadas, otimizando a utilização de recursos da ANAC.</t>
  </si>
  <si>
    <t>KR SOPS 2.5</t>
  </si>
  <si>
    <t>Reunião com empresa que tem intenção de vir para BR. Simplificar etapa de certificação do Brasil. Possivelmente país certificado pela EASA para ampliar atuação.</t>
  </si>
  <si>
    <t>Muito importante para objetivo da Diretoria. Ampliar qtde de empresas aéreas no BR, aumentar competitividade.</t>
  </si>
  <si>
    <t>FRANCISCO AUGUSTO GABAO MONTEIRO</t>
  </si>
  <si>
    <t>Trust Framework Panel (TFP/4) - Reunião 2º semestre 2025</t>
  </si>
  <si>
    <t xml:space="preserve">Participação anterior DECEA. Previstas duas reuniões em 2025. </t>
  </si>
  <si>
    <t>O TFP é uma das partes da nova estrutura que foi criada em 2021 pela ICAO para lidar com tema de Cibersegurança, ao lado do CYSECP e AHCCC. O TFP é responsável pelo desenvolvimento de padrões e procedimentos harmonizados que permitam o intercâmbio resiliente e seguro de informações digitais entre terra-terra, ar-terra e ar-ar, e entre todas partes interessadas. Até o momento, a Anac não tem tido participação efetiva neste painel.</t>
  </si>
  <si>
    <t>Council Session - 2nd Meeting</t>
  </si>
  <si>
    <t>Coordenação SIA. Envolver SAR e SFI nas discussões. Comitê Cyber.</t>
  </si>
  <si>
    <r>
      <rPr>
        <sz val="8"/>
        <color rgb="FF000000"/>
        <rFont val="Verdana"/>
      </rPr>
      <t xml:space="preserve"> A participação  no ICAO Cybersecurity Panel (CYSECP/3) é respaldada pela Portaria de Organização Interna (POI) da Superintendência de Inteligência e Ação Fiscal (SFI) e pela Política Nacional de Inteligência (PNI). A SFI é responsável por participar de eventos internacionais </t>
    </r>
    <r>
      <rPr>
        <b/>
        <sz val="12"/>
        <color rgb="FF000000"/>
        <rFont val="Times New Roman"/>
      </rPr>
      <t>e coordenar a segurança da informação e a proteção de dados e infraestrutura crítica</t>
    </r>
    <r>
      <rPr>
        <sz val="12"/>
        <color rgb="FF000000"/>
        <rFont val="Times New Roman"/>
      </rPr>
      <t>. A PNI destaca a importância de antecipar ameaças cibernéticas e proteger infraestruturas críticas. Além disso, a SFI contribui no Subcomitê de Gestão de Incidentes Cibernéticos do setor aéreo, fortalecendo a proteção contra ameaças cibernéticas e o desenvolvimento de planos de ação integrados</t>
    </r>
  </si>
  <si>
    <t>Cybersecurity Panel (CYSECP) Working Group on Cyber Threat and Risk (WGCTR)</t>
  </si>
  <si>
    <t xml:space="preserve">WGCTR/7 </t>
  </si>
  <si>
    <t>Coordenação SIA. Envolver SFI nas discussões. Comitê Cyber.</t>
  </si>
  <si>
    <r>
      <t xml:space="preserve">Trabalho de desenvolvimento de material orientativo para os Estados Membros, com participação conjunta com o DECEA. 
A participação no Cybersecurity Panel (CYSECP) Working Group on Cyber Threat and Risk (WGCTR) é respaldada pela Portaria de Organização Interna (POI) da Superintendência de Inteligência e Ação Fiscal (SFI), que define a competência para </t>
    </r>
    <r>
      <rPr>
        <b/>
        <sz val="12"/>
        <color theme="1"/>
        <rFont val="Times New Roman"/>
        <family val="1"/>
      </rPr>
      <t>participar de eventos internacionais, promover a segurança da informação e coordenar a proteção de dados e infraestrutura crítica</t>
    </r>
    <r>
      <rPr>
        <sz val="12"/>
        <color theme="1"/>
        <rFont val="Times New Roman"/>
        <family val="1"/>
      </rPr>
      <t>. A Política Nacional de Inteligência (PNI) reforça a necessidade de antecipar ameaças cibernéticas e proteger infraestruturas críticas. A SFI  também contribui no Subcomitê de Gestão de Incidentes Cibernéticos, no Comitê de Segurança e Proteção de Dados da ANAC e no Grupo de Infraestruturas Críticas do GSI, ampliando a defesa contra ameaças cibernéticas.</t>
    </r>
  </si>
  <si>
    <t>Cybersecurity Panel (CYSECP) Working Group on Cybersecurity Guindance Material (WGCGM)</t>
  </si>
  <si>
    <t>WGCGM/7</t>
  </si>
  <si>
    <r>
      <t xml:space="preserve">Trabalho de desenvolvimento de material orientativo para os Estados Membros, com participação conjunta com o DECEA. 
A participação  no Cybersecurity Panel (CYSECP) Working Group on Cybersecurity Guidance Material (WGCGM) é tecnicamente fundamentada pela Portaria de Organização Interna (POI) da Superintendência de Inteligência e Ação Fiscal, que delega à SFI a competência de participar de eventos internacionais, promover a segurança da informação e coordenar ações de gestão de crises relacionadas à proteção de dados e infraestrutura crítica. A Política Nacional de Inteligência (PNI) complementa essa atuação ao reforçar a necessidade de antecipar ameaças cibernéticas, proteger infraestruturas críticas e garantir o intercâmbio de informações estratégicas no setor aéreo. Além disso, servidores da GINT/SFI </t>
    </r>
    <r>
      <rPr>
        <b/>
        <sz val="12"/>
        <color theme="1"/>
        <rFont val="Times New Roman"/>
        <family val="1"/>
      </rPr>
      <t>atuam como participantes do Subcomitê de Plano Setorial de Gestão de Incidentes Cibernéticos do setor de transporte aéreo</t>
    </r>
    <r>
      <rPr>
        <sz val="12"/>
        <color theme="1"/>
        <rFont val="Times New Roman"/>
        <family val="1"/>
      </rPr>
      <t xml:space="preserve">, fortalecendo a proteção contra ameaças cibernéticas e o desenvolvimento de planos de ação integrados. A SFI também participa como representante no </t>
    </r>
    <r>
      <rPr>
        <b/>
        <sz val="12"/>
        <color theme="1"/>
        <rFont val="Times New Roman"/>
        <family val="1"/>
      </rPr>
      <t>Grupo de Infraestruturas Críticas do GSI e oferece suporte ao Comitê de Segurança e Proteção de Dados da ANAC</t>
    </r>
    <r>
      <rPr>
        <sz val="12"/>
        <color theme="1"/>
        <rFont val="Times New Roman"/>
        <family val="1"/>
      </rPr>
      <t>, consolidando a defesa cibernética do setor aéreo ao colaborar no desenvolvimento de materiais de orientação no WGCGM para padronizar e aprimorar a segurança cibernética internacionalmente.</t>
    </r>
  </si>
  <si>
    <t>F-39</t>
  </si>
  <si>
    <t>ANAC Argentina - Bilateral</t>
  </si>
  <si>
    <t>Reunião técnica para discutir oportunidades de cooperação bilateral.</t>
  </si>
  <si>
    <t>MARCO AURÉLIO SANTIN</t>
  </si>
  <si>
    <t>Aerocivil</t>
  </si>
  <si>
    <t>ANAC-Aerocivil Colômbia - Bilateral</t>
  </si>
  <si>
    <t>Colômbia</t>
  </si>
  <si>
    <t>GTNI/SAR</t>
  </si>
  <si>
    <t>DGAC</t>
  </si>
  <si>
    <t>ANAC-DGAC Chile</t>
  </si>
  <si>
    <t>GTNI</t>
  </si>
  <si>
    <t>ANAC-FAA Airworthiness Standards and International Team</t>
  </si>
  <si>
    <t>Comunicação sobre processos normativos e mecanismos regulatórios em certificação de produto</t>
  </si>
  <si>
    <t>CWI EASA-007 Flight Crew Human Factors in Functional Hazard Assessments</t>
  </si>
  <si>
    <t>Grupo de trabalho classificado como "Top Five CWIs" pelo CATA. Trata do assunto "Addressing flight crew Human Factors (HF) in FHA" como parte das lições aprendidas dos acidentes do Boeing 737MAX.</t>
  </si>
  <si>
    <t>Alterações no CS/AMC 25, com potencial migração para o RBAC.</t>
  </si>
  <si>
    <t>MAURICIO DE PAULA FERREIRA VELOSO,
FERNANDO LACERDA, HOMERO MONTANDON</t>
  </si>
  <si>
    <t>E-40 Electrified Propulsion Committee</t>
  </si>
  <si>
    <t>E</t>
  </si>
  <si>
    <t>Desenvolvimento de normas da indústria, utilizadas como referência pelas CAAs para certificação de produto.</t>
  </si>
  <si>
    <t>Inovação tecnológica: Propulsão Eletrificada</t>
  </si>
  <si>
    <t>F38 Unmanned Aircraft Systems</t>
  </si>
  <si>
    <t>F38</t>
  </si>
  <si>
    <t>Considerando a tendência mundial de crescimento da frota de aeronaves não tripuladas (UAS), drones e correlatos.
Tendo em vista o número crescente de processos de certificação de tipo de drones, já atendidos pela PST-AG.
Considerando os riscos que tais sistemas e aeronaves apresentam para a sociedade e a aviação regular já existente.
Considerando a normatização e regramento incipientes, e que requerem avaliação e ações por parte das AACs.
Tendo em vista que a ASTM e seus comitês vem se tornando uma referência de peso no que tange a MOCs e padrões mínimos em diferentes áreas, e que outras autoridades também estão representadas em seus subcomitês, entende-se coo muito importante e justificável que a ANAC também esteja representada nas discussões e trabalhos que vem ocorrendo. Assuntos mais técnicos.</t>
  </si>
  <si>
    <t>Norma ASTM para certificação</t>
  </si>
  <si>
    <t>ICA ARC</t>
  </si>
  <si>
    <t xml:space="preserve">ARC sobre ICA da FAA com objetivo de revisar meio de cumprimento e policies da FAA para o assunto de Instruções de Aeronavegabilidade Continuada. </t>
  </si>
  <si>
    <t>International AISC-SHM Technical Committee - 1st Meeting</t>
  </si>
  <si>
    <t>Certicação de tipo e ICA. ANAC, FAA, EASA, TCCA, 6 fabricantes, sendo a Embraer uma das que estão participando ativamente do assunto com acompanhamento da ANAC através do denominado POA-DTE. Aplicação futura das decisões com grande impacto potencial para a segurança operacional da frota. sem impacto regulatório no curto prazo, mas resultado das discussões deve trazer no futuro. Harmonizar requisitos, ter isonomia de mercado, reduz barreira burocrática, barreiras validação estrangeira. Afeta imediatamente a indústria. A Embraer tem sido uma das empresas pioneiras na pesquisa do assunto, estudando dois métodos de SHM e trabalhando em convenio com a Sandia/EUA; Apresenta material sobre os temas, opinião, fórum mais informal, todos tem voz, participam. A presença da ANAC é esperada por ser vista como uma das 4 principais autoridades de aviação civil.</t>
  </si>
  <si>
    <t>Indústria puxando o assunto, visa harmonização. Junto com a Embraer. Busca de segurança mas com ganho econômico.</t>
  </si>
  <si>
    <t>Sensores para busca de falhas estruturais.</t>
  </si>
  <si>
    <t>Apresentação do status BR sobre assunto</t>
  </si>
  <si>
    <t>Embraer é pioneira e referência mundial na construção desse critério.</t>
  </si>
  <si>
    <t>RAFAEL FOLTRAN</t>
  </si>
  <si>
    <t>SC-159 - Navigation equipment using the Global Navigation Satellite System - 1st Meeting</t>
  </si>
  <si>
    <t>Desenvolvimento de normas e padrões para sistemas GNSS, com ênfase em GBAS, SBAS, ABAS, sistemas MC e MF e requisitos para aumento de robustez contra jamming e spoofing.</t>
  </si>
  <si>
    <t>ALESSANDRO ADINOLFI</t>
  </si>
  <si>
    <t>TST 25.1322 - 2nd Meeting</t>
  </si>
  <si>
    <t>Participação 2 PCDPs</t>
  </si>
  <si>
    <t>São José dos Campos</t>
  </si>
  <si>
    <t xml:space="preserve">2025 ICAO Aviation Climate Week </t>
  </si>
  <si>
    <t>2025PAI01AMBI005</t>
  </si>
  <si>
    <t>Evento renomeado, nome anterior: LTAG Stocktaking on aviation in-sector CO2 emissions reductions</t>
  </si>
  <si>
    <t xml:space="preserve">The ICAO LTAG Stocktaking will consider innovative solutions to unlock current and future CO2 aviation emissions reduction potentials, covering three areas on technology, operations and sustainable fuels, also in light of the request from 41st Session of ICAO Assembly to monitor the progress toward the achievement of the long-term global aspirational goal (LTAG). </t>
  </si>
  <si>
    <t>AMBI4, AMBI5</t>
  </si>
  <si>
    <t>O Infoshare do FAA é um evento realizado com participação da indústria da aviação nos EUA, e tem como principais objetivos:
- Compartilhar informação
- Fomentar o trabalho colaborativo
- Disseminação de melhores práticas
- Promoção da cultura de safety</t>
  </si>
  <si>
    <t>Fórum mais importante da atualidade de compartilhamento de informações de safety. Permite que a ANAC tenha conhecimento desses problemas e se prepare/atue para elevar o padrão de segurança operacional no Brasil. Participação também contribui com a implementação no Brasil de um Infoshare.</t>
  </si>
  <si>
    <t>Cooperação Técnica com Argentina. MOU assinado 2024.</t>
  </si>
  <si>
    <t>Cooperação</t>
  </si>
  <si>
    <t>Ground Handling Conference (IGHC)</t>
  </si>
  <si>
    <t>Maio de 2025</t>
  </si>
  <si>
    <t>Quênia</t>
  </si>
  <si>
    <t>Participação SIA</t>
  </si>
  <si>
    <t>Instrução SPL. Certificação de centros e de profissionais no tema AVSEC. Na agenda do Painel AVSEC os temas emergentes geralmente se relacionam com as novas ameaças ou ameaças que possuam algum crescimento identificado.
Nesse sentido, medidas de segurança para endereçar ameaças na temática da cibersegurança, dos ataques ao lado terra e dos ataques à carga e correio são exemplos de assuntos de destaque no Painel.</t>
  </si>
  <si>
    <t>SPEL1.1</t>
  </si>
  <si>
    <t>Projeto Prioritário</t>
  </si>
  <si>
    <t>Projeto Prioritário Harmonização processo autorização de vôo, junto com projeto prioritário. Nota de estudo será apresentado em nov 2024</t>
  </si>
  <si>
    <t>ECON2</t>
  </si>
  <si>
    <t>Assuntos regulação relevantes de macrotemas./ Discutir o Índice de competitividade para o setor aéreo</t>
  </si>
  <si>
    <t>ECON 2</t>
  </si>
  <si>
    <t>DGAC- chile</t>
  </si>
  <si>
    <t>André Stock e Eduardo Chaffim</t>
  </si>
  <si>
    <t>Aviation</t>
  </si>
  <si>
    <t>Passagem custeada pela organização; ANAC pagará apenas diárias e seguro. Eurich foi convidado a palestrar no evento.</t>
  </si>
  <si>
    <t>Coordenação UDVDs participantes</t>
  </si>
  <si>
    <t>O summit da ALTA é o evento regional mais relevante de segurança operacional no ano. "Safety, Flight Operations, and Pilot Training professionals from different sectors of the industry will come together to discuss current and relevant topics in these areas. Representatives of airlines, manufacturers, civil aviation authorities, airports, air traffic control organizations, aviation schools, associations, training facilities as well as other sectors of the industry will be present."</t>
  </si>
  <si>
    <t>Marcos Eurich</t>
  </si>
  <si>
    <t>Comitê de Prevenção de Perigo Aviário e Fauna da Região (CARSAMPAF)</t>
  </si>
  <si>
    <t>Comitê</t>
  </si>
  <si>
    <t xml:space="preserve">Evento organizado anualmente pelo Comitê Regional CAR/SAM de Prevenção de Perigo Aviário e de Fauna - CARSAMPAF, que tem por objetivo proporcionar o intercâmbio de informações e técnicas,  a respeito de gerenciamento do risco da fauna em aeroportos, com vistas a prevenção e mitigação do risco de colisões, relacionado a presença de fauna nas proximidades de aeródromos. </t>
  </si>
  <si>
    <t>Pilot Training Connect</t>
  </si>
  <si>
    <t>Pilot</t>
  </si>
  <si>
    <t>Solicitação da Diretoria para participação. Houve apresentação da ANAC. SPL participou junto com SPO como palestrante.</t>
  </si>
  <si>
    <t>O ALTA Pilot Training Connect é um evento educacional e de networking que reúne companhias aéreas, reguladores, ATOs e a indústria para mostrar as últimas tendências em treinamento de pilotos, compartilhar experiências e discutir desafios, construir relacionamentos e criar iniciativas para melhorar a forma como treinamos e pensamos em treinar.</t>
  </si>
  <si>
    <t>UN</t>
  </si>
  <si>
    <t>Sub-Committee of Experts on the Transport of Dangerous Goods (UN TDG)  - 2nd Meeting</t>
  </si>
  <si>
    <t>Missão historicamente CAT A alterada para CAT B em 2024 por problema orçamentário.</t>
  </si>
  <si>
    <t>Reunião principal do Subcomitê da ONU em que são discutidas as mudanças da regulamentação internacional do transporte de  artigos perigosos. Diversas das mudanças aprovadas nó nível da ONU são adotadas automaticamente no nível da OACI sem discussões ou com poucas adaptações. A ANAC deve manter a presença em tais reuniões de modo a garantir que as mudanças aprovadas possam ser adotadas na realidade do transporte aéreo brasileiro. A ANAC possui participação como delegate e deve manter presença para evitar perder tal posição. As discussões implicam em alterações do RBAC 175, contido na agenda regulatória da ANAC.</t>
  </si>
  <si>
    <t>O: SOPS1
KR: SOPS1.5</t>
  </si>
  <si>
    <t>Servidor é delegate do TDG</t>
  </si>
  <si>
    <t>Sub-Committee of Experts on the Transport of Dangerous Goods (UN TDG) - 1st Meeting</t>
  </si>
  <si>
    <t>Advanced Air Mobility (AAM) Symposium</t>
  </si>
  <si>
    <t>Não está no radar da SAR??? Acontecerá em 2025? OPS 2 servidores.</t>
  </si>
  <si>
    <t>O simpósio se baseará nos desenvolvimentos do DRONE ENABLE com atenção dada aos conceitos para AAM, aeronaves elétricas de decolagem e pouso vertical (eVTOL), vertiportos, automação, estrutura de confiança e integração do espaço aéreo. Várias dimensões desses novos conceitos de mobilidade e infraestrutura serão consideradas.</t>
  </si>
  <si>
    <t>ANAC-FAA Bilateral Continued Operational Safety COS meeting</t>
  </si>
  <si>
    <t>NELSON EISAKU NAGAMINE / FAUSTO ENOKIBARA</t>
  </si>
  <si>
    <t>GTAC</t>
  </si>
  <si>
    <t>Joint Authorities for Rulemaking on Unmanned Systems (JARUS) 1st Plenary</t>
  </si>
  <si>
    <t>WG-127, Lower-risk Aviation Application - 2nd Meeting</t>
  </si>
  <si>
    <t>Aviation Security Panel (AVSECP) Working Group on Threat and Risk (WGTR) - 1st Meeting</t>
  </si>
  <si>
    <t xml:space="preserve">Analisar resultado e particpação SIA. </t>
  </si>
  <si>
    <t>Coreia do Sul</t>
  </si>
  <si>
    <t>Cenários de ameaça relacionados à cibersegurança, drones e ataques com utilização de misseis. Apresentação metodologia de risco para ICAO DOC 8973</t>
  </si>
  <si>
    <t>Não existe manual específica. Proposta metodologia Mestrado Michele. Criação de manual. Proposta CLAC</t>
  </si>
  <si>
    <t>As avaliações de risco em especial tratam das ameaças emergentes, como as recentes ameaças cibernéticas e de drones.</t>
  </si>
  <si>
    <t>Aviation Security Panel (AVSECP) Working Group on Threat and Risk (WGTR) - 2nd Meeting</t>
  </si>
  <si>
    <t>Analisar resultado e particpação SIA.</t>
  </si>
  <si>
    <t>SC-242 Spectrum Compatibility - 1st meeting</t>
  </si>
  <si>
    <t>1S/2025</t>
  </si>
  <si>
    <t>Grupo para desenvolver padrões de uso aeronáutico contendo melhores práticas do uso do espectro eletromagnético para realização de funções de uso aeronáutico. O grupo tem objetivo de melhorar a eficiência e uso seguro dos recuros de espectro eletromagnético na indústria aeronáutica</t>
  </si>
  <si>
    <t>SC-242 Spectrum Compatibility - 2nd meeting</t>
  </si>
  <si>
    <t>2S/2025</t>
  </si>
  <si>
    <t>SC-242 Spectrum Compatibility - 3rd meeting</t>
  </si>
  <si>
    <t>78th
2025</t>
  </si>
  <si>
    <t xml:space="preserve">O evento reúne especialistas internacionais em aviação com o objetivo de mostrar perspectivas e iniciativas sobre os principais desafios em questões de segurança e operações de voo. Na edição de Paris (2023), estiveram presentes os principais representantes de segurança de design, fabricantes de produtos aeronáuticos, desenvolvimento e treinamento, manutenção, operações aéreas e regulamentos internacionais.
A participação da SFI no International Aviation Safety Summit (IASS) de 2025 é importante, pois,  de acordo com sua  Portaria de Organização Interna (POI) e a Política Nacional de Inteligência (PNI) a SFI deve promover estudos, emitir pareceres e participar de eventos internacionais sobre inteligência e gestão de crises, além de colaborar com entidades estrangeiras. O IASS ajuda a antecipar ameaças, proteger infraestruturas críticas e fortalecer a segurança no setor aéreo </t>
  </si>
  <si>
    <t>Participação SIA. Participação ANAC</t>
  </si>
  <si>
    <t xml:space="preserve">Canadá </t>
  </si>
  <si>
    <t xml:space="preserve">Evento apresentação indústria novas soluções. Reuniões paralelas, discussões sobre Anexo 17. </t>
  </si>
  <si>
    <t>Desenvolvimentos do DRONE ENABLE com atenção dada aos conceitos para AAM, aeronaves elétricas de decolagem e pouso vertical (eVTOL), vertiportos, automação, estrutura de confiança e integração do espaço aéreo. AAM 2024 will bring together key stakeholders from industry, academia, government and international organizations in advanced air mobility, as well as unmanned aircraft systems (UAS), sectors to exchange research, best practices, lessons learned and respective challenges. Attention will be given to ongoing ICAO activities related to AAM, including UAS, which need to be addressed collectively in order to facilitate their integration into the global aviation system</t>
  </si>
  <si>
    <t xml:space="preserve">Pan-America Regional Aviation Safety Team (PA-RAST/69) </t>
  </si>
  <si>
    <t>O mês provável é em junho. O local ainda precisa ser confirmado na próxima reunião do WGTR em novembro de 2024.</t>
  </si>
  <si>
    <t>Aguarda reporte da reunião 2024</t>
  </si>
  <si>
    <t>Cenários de ameaça relacionados à cibersegurança, drones e ataques com utilização de misseis.</t>
  </si>
  <si>
    <t>SECU3.2-Atuar para incluir o nível de risco e ameaça existente na Aviação Civil Brasileira como referência mundial (Doc 10108 – Aviation Security)</t>
  </si>
  <si>
    <t>Não existe manual específica. Proposta metodologia Mestrado Michele</t>
  </si>
  <si>
    <t>Talita Armborst</t>
  </si>
  <si>
    <t>Ainda sem data prevista.</t>
  </si>
  <si>
    <t>Customer Experience</t>
  </si>
  <si>
    <t>Qualidade de serviço. Verificar como foi evento em 2024.</t>
  </si>
  <si>
    <t>Trata-se do principal evento dedicado à experiência dos passageiros e funcionários os terminais aeroportuários, trazendo a visão estratégica e expertise dos operadores globais em termos de qualidade de serviço.</t>
  </si>
  <si>
    <t>CGE IV</t>
  </si>
  <si>
    <t>Dangerous Goods Panel (DGP) WG / UPU Contact Committee (CC)</t>
  </si>
  <si>
    <t>O referido comitê tem como objetivo principal o desenvolvimento de um quadro de cooperação internacional visando encontrar oportunidades de melhoria e empreender novas iniciativas no que tange ao transporte de artigos perigosos via postal. A reunião do Comitê dará prosseguimento às discussões relativas à segurança do transporte de artigos perigosos via postal e ainda introduzirá tópicos bastante atuais, como drones para delivery e e-commerce. A ANAC possui participação como membro e deve manter presença para evitar perder tal posição.</t>
  </si>
  <si>
    <t>O: SOPS1</t>
  </si>
  <si>
    <t>Reunião de cooperação entre DGP e UPU para desenvolver normas de safety aplicáveis ao transporte de artigos perigosos por via postal aérea</t>
  </si>
  <si>
    <t>São discutidas as melhorias nos processos de artigos perigosos em  transporte de mala postal perante o desenvolvimento de novos produtos e tecnologias (Ex.: drones para delivery e e-commerce).</t>
  </si>
  <si>
    <t>Servidor é o membro oficial do DGP</t>
  </si>
  <si>
    <t>Reunião impacta diretamente as Instruções Técnicas,  RBAC 175 e suas IS.</t>
  </si>
  <si>
    <t>Encontro anual de gestão da ACI</t>
  </si>
  <si>
    <t>Encontro</t>
  </si>
  <si>
    <t>Depende convite ACI</t>
  </si>
  <si>
    <t>Participação em reunião interna da ACI à convite da entidade.</t>
  </si>
  <si>
    <t>Juliana.Dantas</t>
  </si>
  <si>
    <t xml:space="preserve">Human Factors International Working Group </t>
  </si>
  <si>
    <t>Human</t>
  </si>
  <si>
    <t>O HF-IWG visa identificar e comunicar as melhores práticas e lições aprendidas para as partes interessadas e parceiros internacionais. Este grupo de trabalho tem o potencial de melhorar a eficácia e a eficiência da segurança dos aeroportos,  colaborando para resolver problemas comuns de fatores humanos nos canais de inspeção dos aeroportos. Várias asssociações participantes.</t>
  </si>
  <si>
    <t>Práticas recomendadas</t>
  </si>
  <si>
    <t>Discussão de problemas dificil soluções. Busca troca de idéias.</t>
  </si>
  <si>
    <t>Apresentação pós-doutorado</t>
  </si>
  <si>
    <t>Auxílio produção de manuais. Contribui criação de manuais internos para cada país.</t>
  </si>
  <si>
    <t>De 4 a 6 de novembro de 2025, em Lisboa</t>
  </si>
  <si>
    <t>The International Aviation Safety Summit (IASS) is aviation’s premier safety summit, drawing as many as 350+ representatives from over 50 countries to exchange information and propose new directions for further risk reductions and make the safest mode of transportation even safer. Summit content is designed to address issues surrounding safety, training, practical solutions, management, human factors, maintenance/engineering, and offshore operations</t>
  </si>
  <si>
    <t>Possível atuação como palestrante</t>
  </si>
  <si>
    <t>IOSA Oversight Group (IOG) - 2nd Meeting</t>
  </si>
  <si>
    <t>FRANCISCO AUGUSTO GABAO MONTEIRO / LAWRENCE JOSUA FERNANDES COSTA / BRUNO DEL BEL</t>
  </si>
  <si>
    <t>OECD</t>
  </si>
  <si>
    <t>ITF 2025 Summit: Enhancing Transport Resilience to Global Shocks 21- 23/05/2025</t>
  </si>
  <si>
    <t>ITF</t>
  </si>
  <si>
    <t>GEAC e GEAM. Ver com Marcelo Bernardes.</t>
  </si>
  <si>
    <t>Dados e regulação econômica. SAC ou SGM? Verificar início participação OCDE.</t>
  </si>
  <si>
    <t>Aproximação da divisão de estatística da ocde</t>
  </si>
  <si>
    <t>ECON7</t>
  </si>
  <si>
    <t>UL Standards and Engagement</t>
  </si>
  <si>
    <t>Lithium Battery Safety in Aviation Thermal Runaway Incident Program Summit</t>
  </si>
  <si>
    <t>Passenger Terminal Expo + Technical Visit</t>
  </si>
  <si>
    <t>Passenger</t>
  </si>
  <si>
    <t>Espanha</t>
  </si>
  <si>
    <t xml:space="preserve">Técnicas de processamento de passageiros. Tratamento de níveis de serviços. Painéis. Idéia de fazer visita técnica junto ao evento. </t>
  </si>
  <si>
    <t>Técnicas de processamento de passageiros. Tratamento de níveis de serviços. Painéis.</t>
  </si>
  <si>
    <t>visita técnica Frankfurt</t>
  </si>
  <si>
    <t>AVSEC2024</t>
  </si>
  <si>
    <t>A participação  no ICAO Global Aviation Security Symposium (AVSEC) é importante como subsidio para reforçar as capacidades de segurança da aviação civil, em conformidade com as diretrizes da Política Nacional de Inteligência (PNI), que busca antecipar, detectar e mitigar ameaças à segurança nacional e internacional. Alinhada à Portaria de Organização Interna (POI) da Superintendência de Inteligência e Ação Fiscal (SFI), a presença  nesse simpósio fortalece a cooperação internacional e permite a troca de conhecimentos estratégicos sobre tendências de segurança da aviação, sistemas de proteção e mitigação de riscos relacionados a ameaças terroristas, cibernéticas e sabotagens. Além disso, essa participação contribui para o desenvolvimento de estratégias integradas de resposta a crises e reforça a atuação da ANAC na proteção de infraestruturas críticas do setor aéreo​</t>
  </si>
  <si>
    <t>TWG</t>
  </si>
  <si>
    <t>TWG for SCORE Users</t>
  </si>
  <si>
    <t>2 reuniões no ano. 1 Virtual e 1 Presencial se possível.</t>
  </si>
  <si>
    <t>Grupo composto de 5 a 7 pessoas, que trabalham com coordenação de slots em outros países e que utilizam a ferramenta SCORE para fazer o trabalho de coordenação e alocação de slots. Cerca de 70% de todos os coordenadores do mundo utilizam essa ferramenta.Na essência é esse grupo quem decide como se ocorrerá a implementação de novas funcionalidades que proporciona agilidade e eficiência na execução da atividade de coordenação e alocação de slots.
Só no Brasil, temos 11 organizações que utilizam o SCORE, dessa forma a participação da ANAC poderia promover um fortalecimento do processo de coordenação de slots no Brasil e na região, levando pra esse fórum as demandas da região, além de ter voz ativa quanto às implementações a serem realizadas.</t>
  </si>
  <si>
    <t>RODRIGO NEVES MARTINS</t>
  </si>
  <si>
    <t>Working Group on Facilitation Capacity Building 
(WGFCB)</t>
  </si>
  <si>
    <t>Working</t>
  </si>
  <si>
    <t xml:space="preserve">Formato e local não definidos. </t>
  </si>
  <si>
    <t>Criação de estratégias de treinamento em Facilitação</t>
  </si>
  <si>
    <t>Werllen Lauton Andrade
ou
Diana Helena Ferreira</t>
  </si>
  <si>
    <t>Workshop on Competition in the Aviation Sector</t>
  </si>
  <si>
    <t>Workshop</t>
  </si>
  <si>
    <t>Ver agenda. Ver com Marcelo Bernardes.</t>
  </si>
  <si>
    <t>Discussão de temas sobre concorrência e regulação econômica em aeroportos.</t>
  </si>
  <si>
    <t>World Passenger Symposium</t>
  </si>
  <si>
    <t>World</t>
  </si>
  <si>
    <t>Foco em acessibilidade. Resolução normativa 280 e fiscalização, educação consumo e projetos melhoria qualidade serviço.</t>
  </si>
  <si>
    <t>Agenda regulatória. Tratamento passageiro. ARR (avaliaçao resultado regulatório) Res 400</t>
  </si>
  <si>
    <t>YURI CÉSAR CHERMAN</t>
  </si>
  <si>
    <t>World Safety and Operations Conference (WSOC)</t>
  </si>
  <si>
    <t>Esta conferência aborda todas as questões relacionadas à segurança, operações e infraestrutura.</t>
  </si>
  <si>
    <t>Evento promovido pela indústria (IATA), https://www.iata.org/en/events/all/wcs/, que aborda melhores práticas do setor, em particular nos assuntos de safety e security, com destaque a artigos perigosos</t>
  </si>
  <si>
    <t>O programa menciona novos padrões de teste de fogo em bateria de lítio:
https://www.iata.org/contentassets/4e4d3b50f3614011aef57357e594801e/wcs2024_safety_security.pdf</t>
  </si>
  <si>
    <t>Observador, somente</t>
  </si>
  <si>
    <t>O programa prevê definições de padrões de teste de fogo em baterias de lítio, que podem influenciar, depois, os padrões ICAO: https://www.iata.org/contentassets/4e4d3b50f3614011aef57357e594801e/wcs2024_safety_security.pdf</t>
  </si>
  <si>
    <t>BRUNO DEL BEL</t>
  </si>
  <si>
    <t>World Sustainability Symposium 2025</t>
  </si>
  <si>
    <t>Caso palestrante, rever priorização. Assunto SAF. Networking.</t>
  </si>
  <si>
    <t>Simpósio da IATA sobre sustentabilidade</t>
  </si>
  <si>
    <t>Halldale Group</t>
  </si>
  <si>
    <t>World Aviation Training Summit (WATS)</t>
  </si>
  <si>
    <t>The World Aviation Training Summit (WATS) é o maior evento de treinamento em aviação do mundo, projetado por e para profissionais da aviação. Reúne a comunidade global de treinamento em aviação de academias e universidades de treinamento de companhias aéreas, companhias aéreas regionais, nacionais e internacionais, reguladores e fornecedores.</t>
  </si>
  <si>
    <t>ANDRE LEONARDO, VITOR SILVA E ALINE SOUSA</t>
  </si>
  <si>
    <t>ICMC</t>
  </si>
  <si>
    <t>Annual International Crisis Management Conference</t>
  </si>
  <si>
    <t xml:space="preserve">10th  </t>
  </si>
  <si>
    <t>CAPACITAÇÃO Focado em gestão de crises, oferecendo insights avançados e técnicas aplicáveis ao desenvolvimento de competências estratégicas em crises complexas.</t>
  </si>
  <si>
    <t>A participação na 10ª Conferência Anual Internacional de Gestão de Crises é essencial para a SFI, pois proporciona um espaço estratégico para discutir práticas eficazes na gestão de crises globais, com foco na aviação civil. O evento reúne especialistas e líderes para apresentar soluções inovadoras e lições aprendidas. A SFI terá a oportunidade de ober insights sobre inteligência de crises, respostas rápidas e planejamento operacional, que são áreas cruciais para antecipar e mitigar ameaças à infraestrutura e segurança do transporte aéreo. Alinhada à Política Nacional de Inteligência (PNI) e a Portaria de Organização Interna (POI) da Superintendência de Inteligência e Ação Fiscal, a participação fortalece a capacidade da SFI de coordenar respostas eficazes e melhorar a cooperação internacional, garantindo o compartilhamento de informações essenciais para a resiliência do setor.</t>
  </si>
  <si>
    <t>Evento/Seminário da ICAO-SAM sobre concessões</t>
  </si>
  <si>
    <t>Evento</t>
  </si>
  <si>
    <t>Cooperação técnica. Ainda não previsto. Pendente convite palestrar. Operação aeroportuário e nos últimos 2 anos foco em concessões.</t>
  </si>
  <si>
    <t>Evento dedicado ao tema concessões. Nos últimos anos, representantes da SRA têm sido convidados para palestrar no evento em temas específicos, como infraestrutura aeroportuária e tarifação em aeroportos concedidos.</t>
  </si>
  <si>
    <t xml:space="preserve">KR ECON1.2: Promover melhoria regulatória da ANAC sobre tarifas aeroportuárias, conforme melhores práticas internacionais
KR ECON1.3: Analisar impacto no processo regulatório brasileiro e melhorar contratos de concessões e relicitações de aeroportos.  </t>
  </si>
  <si>
    <t>CGE III</t>
  </si>
  <si>
    <t xml:space="preserve">BASA Joint Committee (JC) Meeting </t>
  </si>
  <si>
    <t>JC/3</t>
  </si>
  <si>
    <t>Comentário em 2023: Pouca probabilidade de ocorrer (pq nesse momento não tem demanda), pela SPO o ponto q ensejou essa reunião foi resolvido.</t>
  </si>
  <si>
    <t>Manutenção do acordo em vigor e discussão de eventuais problemas. Proposta de revisão do Anexo B.</t>
  </si>
  <si>
    <t>Diretoria é chairman. Não precisa ser DP</t>
  </si>
  <si>
    <t>SPO E GTNO/GNOS</t>
  </si>
  <si>
    <t>Fuel &amp; Environmental Conference</t>
  </si>
  <si>
    <t>Fuel</t>
  </si>
  <si>
    <t>CONFERIAS</t>
  </si>
  <si>
    <t>Routes Americas</t>
  </si>
  <si>
    <t>Routes</t>
  </si>
  <si>
    <t>Participação Superintendente. Novas rotas</t>
  </si>
  <si>
    <t xml:space="preserve">Bahamas </t>
  </si>
  <si>
    <t>Nassau &amp; Paradise Island</t>
  </si>
  <si>
    <t>Evento de benchmarking e networking sobre serviços aéreos na região</t>
  </si>
  <si>
    <t>Captação de novas rotas, impacta negociação de acordos</t>
  </si>
  <si>
    <t>ADRIANO PINTO DE MIRANDA E MARCO PORTO</t>
  </si>
  <si>
    <t>ALACPA</t>
  </si>
  <si>
    <t>Seminário de Pavimentos Aeroportuários</t>
  </si>
  <si>
    <t>Capacitação</t>
  </si>
  <si>
    <t xml:space="preserve">Evento anual  da ALACPA - Seminário de pavimentos aeroportuários. A Associação Latino-Americana e Caribenha de Pavimentos Aeroportuários (ALACPA) nasceu por iniciativa da Organização da Aviação Civil Internacional (OACI) em 25 de julho de 2002. Desde o ano de 2003, a ALACPA realiza de forma bem-sucedida, com a importante colaboração da OACI, FAA, ACI-LAC, Boeing, os anfitriões, os patrocinadores e os membros, seus seminários anuais. </t>
  </si>
  <si>
    <t>TRIP Symposium</t>
  </si>
  <si>
    <t>The TRIP Symposium is a world-class event enabling the exchange of information on all aspects of traveller identification management. Its various sessions will highlight the need to enhance international cooperation and collaboration to facilitate the traveller's journey while addressing the multiple threats faced by international civil aviation. The improvement of the passenger experience will be achieved by promoting the global regulatory framework established by the provisions of Annex 9 – Facilitation to the Convention on International Civil Aviation, and linking it to the new technology tools available on the market.</t>
  </si>
  <si>
    <t>FERNANDO ANDRE COELHO MITKIEWICZ OU FELIPE CRUZ</t>
  </si>
  <si>
    <t>WATS 2025</t>
  </si>
  <si>
    <t>Caso convite para palestrar, rever prioridade</t>
  </si>
  <si>
    <t>Participar das discussões acerca das melhores práticas em treinamento para operadores aéreos</t>
  </si>
  <si>
    <t>Evento dedicado a discussões referentes à soluções de treinamentos e FTD, em ambientes de operadores aéreos e provedores de treinamento.</t>
  </si>
  <si>
    <t>Gabriel Murta e Vinicius Bretas</t>
  </si>
  <si>
    <t>AC-9C Aircraft Icing Technology Committee</t>
  </si>
  <si>
    <t>Discutir requisitos adequados para certificação de aeronaves supersonicas. Brasil não tem projeto e sim EUA. Vale para futuras validações no BR. Fórum principal sobre esse tema.</t>
  </si>
  <si>
    <t>ANTONIO PARENTE</t>
  </si>
  <si>
    <t>CPR Changed Product Rule - International Authorities WG (IAWG) - 2nd Meeting</t>
  </si>
  <si>
    <t>2025PAI34PAER003</t>
  </si>
  <si>
    <t>1st meeting era A e foi cancelada. Essa será realizada. Repriorizada sobre a CPRIAWG de março. Maria Tereza informou que ela foi designada para ir na missão</t>
  </si>
  <si>
    <t>F-44-50 General Aviation Aircraft (Systems and Equipment) - 2nd Meeting</t>
  </si>
  <si>
    <t>Personnel Training and Licensing Panel - Working Group of the Whole (PTLP WG/WHL/4)</t>
  </si>
  <si>
    <t>GTEV</t>
  </si>
  <si>
    <t>CWI FAA-006 25.672(c)(2) Interpretation</t>
  </si>
  <si>
    <t>Grupo de trabalho classificado como "Top Five CWIs" pelo CATA. Harmonização de interpretação do requisito entre CAAs motivada por questionamentos da CAAC que apontam possível divergência entre as CAAs do CMT.</t>
  </si>
  <si>
    <t>WILLER ALVE DA SILVA CRUZ,
JULIO VITAL DINIZ DE PAULA</t>
  </si>
  <si>
    <t>Participação SIA. Apresentação metodologia fatores humanos.</t>
  </si>
  <si>
    <t>Principais Objetivos do Fórum e Discussões Recentes</t>
  </si>
  <si>
    <t>FACI1.1?</t>
  </si>
  <si>
    <t>Airports Innovate</t>
  </si>
  <si>
    <t>Ideias inovadoras e soluções que tem potencial de impactar o futuro dos aeroportos. "This is a must-attend event for anyone looking to stay at the forefront of innovation and be part of shaping the aviation ecosystem."</t>
  </si>
  <si>
    <t>FAA /EASA</t>
  </si>
  <si>
    <t>Annual Airworthiness Safety Seminar</t>
  </si>
  <si>
    <t>Priorizada como B em 2024</t>
  </si>
  <si>
    <t xml:space="preserve">Reconhecimento global de oficinas, redução duplicidade certificação. RBAC 145. </t>
  </si>
  <si>
    <t>Procuradoria. Verificar agenda de 2025.</t>
  </si>
  <si>
    <t>Importante evento onde especialistas jurídicos, escritórios de advocacia renomados e companhias aéreas líderes das Américas, Caribe, Europa, Ásia e África se reúnem para mergulhar em discussões sobre os mais relevantes tópicos jurídicos e financeiros relativos ao setor aéreo.</t>
  </si>
  <si>
    <t>European Airline Training Symposium (EATS)</t>
  </si>
  <si>
    <t>European</t>
  </si>
  <si>
    <t>Caso palestra, rever prioridade. Projeto prioritário Asas para Todos?</t>
  </si>
  <si>
    <t>Eduardo Adelino e Rogério Cyriaco</t>
  </si>
  <si>
    <t>Rescue and Fire Fighting Working Group (RFFWG)</t>
  </si>
  <si>
    <t>Rescue</t>
  </si>
  <si>
    <t>Previsão de realização de reunião do RFFWG/21, de 28 a 31 de julho, em Montreal. Atualmente, Brasil não está participando do RFFWG.</t>
  </si>
  <si>
    <t>Desenvolvimento de requisitos baseados em performance (Performance-based provisions) para RFFS.</t>
  </si>
  <si>
    <t xml:space="preserve">The AVSEC Symposium will: facilitate discussion on key issues relating to aviation security among Member States and stakeholders; promote technology and security process innovation; further the exchange of information; and support Member States in research, development, procurement and systems integration efforts to mitigate threats to civil aviation. Evento apresentação indústria novas soluções. Reuniões paralelas, discussões sobre Anexo 17. </t>
  </si>
  <si>
    <t>REGINALDO LIRA</t>
  </si>
  <si>
    <t>JAA</t>
  </si>
  <si>
    <t>Technical Visit</t>
  </si>
  <si>
    <t>Países Baixos</t>
  </si>
  <si>
    <t>Troca de experiências com a JAA para fins de absorção de melhores práticas.</t>
  </si>
  <si>
    <t>CAPA2.2</t>
  </si>
  <si>
    <t>ANDRE LEONARDO E VITOR SILVA</t>
  </si>
  <si>
    <t>ICC</t>
  </si>
  <si>
    <t>Miami Conference on International Arbitration</t>
  </si>
  <si>
    <t>Arbitragens suspensas ano passado, retorno esse ano. (Galeão e Viracopos)</t>
  </si>
  <si>
    <t>Principal fórum de discussão em matéria de arbitragem, com trocas de experiências e exposições. ICC.</t>
  </si>
  <si>
    <t>Debate regras para arbitragens, impacta solução de litígios específicos. Fórum de discussão. Atualização regulamento ICC.</t>
  </si>
  <si>
    <t>Relicitação Viracopos. Contratos de concessão. Reequilíbrio COVID. Valor financeiro alto.</t>
  </si>
  <si>
    <t>Jonas Rodrigues da Silva Júnior</t>
  </si>
  <si>
    <t>Aguardando definição 2025</t>
  </si>
  <si>
    <t>Importante salientar que SEIT participa efetivamente do evento e dessa forma complementariamos a visita técnica ao SEIT por ser pertinente para a discussão de combate manutenção clandestina na Aviação Civil</t>
  </si>
  <si>
    <t>Ação fiscal</t>
  </si>
  <si>
    <t>Committee on Aviation Environmental Protection (CAEP) Working Group 3 (WG3) - 3rd Meeting</t>
  </si>
  <si>
    <t>3rd Meeting CAEP/14</t>
  </si>
  <si>
    <t>Grupo no qual são estipuladas as SARPS de emissões de motores e aeronaves.</t>
  </si>
  <si>
    <t>MARCELO BATISTA SAITO</t>
  </si>
  <si>
    <t>SM-ICG</t>
  </si>
  <si>
    <t>Safety Management International Collaboration Group (SM-ICG) - 1st Meeting</t>
  </si>
  <si>
    <t>Verificar agenda do SM-ICG</t>
  </si>
  <si>
    <t>O Brasil (Neverton Novais) é  membro do Steering Committee do SM-ICG. Maior aplicabilidade que painel. Elaboração de material de orientação. Indústria participa também. Materiais mais fáceis para aplicabilidade que painel, fácil ser absorvido pelos Estados. ICAO balizador. Para outras áreas, ideal seria criar grupo de trabalho dentro da ANAC. Depende do projeto em discussão, agenda da reunião. ASSOP poderia coordenar internamente. SAR está estabelecendo norma de SMS para fabricante, necessária a participação. Elaboração guidance material para implementação de SMS. Alta probabilidade de entrada na próxima agenda (SAR). Outras autoridades já estão desenvolvendo SMS para fabricantes.</t>
  </si>
  <si>
    <t>Tema transversal, foco SMS. Metodologia indicadores safety, competência de auditores SMS. Acompanham discussões SMP. Representante ICAO participa. Cria material para SMP.</t>
  </si>
  <si>
    <t>Comitê Gestor e Líder de Projeto</t>
  </si>
  <si>
    <t>Neverton Novais
Ronaldo Wajnberg Gamermann
Cristiano Vila</t>
  </si>
  <si>
    <t>World Cargo Symposium</t>
  </si>
  <si>
    <t>Maior evento global de transporte aéreo de carga, que conta com diversas sessões sobre safety da carga e transporte seguro de artigos perigosos. Conta com participação de diversos membros dos forúns internacionais dos quais a ANAC participa atualemte.</t>
  </si>
  <si>
    <t>ANAC/TCCA</t>
  </si>
  <si>
    <t>ANAC-TCCA Validation Task Team</t>
  </si>
  <si>
    <t>Discute implementação do bilateral entre ANAC e TCCA e possíveis pontos de melhoria e correção com base na experiência de validações.</t>
  </si>
  <si>
    <t xml:space="preserve">Daniel Pessoa
</t>
  </si>
  <si>
    <t>ARC Continued Operational Safety COS</t>
  </si>
  <si>
    <t>FAUSTO ENOKIBARA</t>
  </si>
  <si>
    <t>EVTOL</t>
  </si>
  <si>
    <t>eVTOL Insights Conference - eVTOL Insights’ North America Conference 2025</t>
  </si>
  <si>
    <t>Debater os avanços e desafios da mobilidade aérea avançada (AAM) e a comercialização global dos veículos elétricos de decolagem e pouso vertical (eVTOL), reunindo líderes do setor e especialistas para discutir inovação, regulamentação, segurança e oportunidades de mercado.</t>
  </si>
  <si>
    <t>HM-1 Integrated Vehicle Health Management Committee</t>
  </si>
  <si>
    <t>ANDRE LUIZ MORETO</t>
  </si>
  <si>
    <t>VFS Conference - 2025 Transformative Vertical Flight and 12th Annual Electric VTOL Symposium</t>
  </si>
  <si>
    <t>VFS</t>
  </si>
  <si>
    <t>Discutir os avanços tecnológicos e regulatórios no setor de aeronaves de decolagem e pouso vertical elétricas (eVTOL) e autônomas, focando em temas como propulsão elétrica, integração de sistemas autônomos, e desafios relacionados à certificação e operação segura dessas aeronaves no espaço aéreo civil e militar</t>
  </si>
  <si>
    <t>Civil Aviation Authority of Singapore (CAAS) Benchmarking</t>
  </si>
  <si>
    <t>Possibilidade de revisar qtde PCDP?</t>
  </si>
  <si>
    <t>Coleta de informações sobre a condução de processos de certificação e vigilância de operadores 121 e 135, realizados pela Autoridade de Singapura.</t>
  </si>
  <si>
    <t>GCAC/GCTA/GOAG</t>
  </si>
  <si>
    <t>ICAEA</t>
  </si>
  <si>
    <t>Conference</t>
  </si>
  <si>
    <t>Trata-se de uma discussão sobre a expansão da noção do que é proficiência a fim de incluir outras competências relacionadas à comunicação.
Como colocado na mensagem da Angela abaixo o Workshop seria sobre competências da proficiência linguística relacionadas aos problemas das comunicações reais, algo que hoje nosso exame não aborda.
Entendo que a aplicação destes itens poderão ser inseridos em questões futuras de novas versões do SDEA</t>
  </si>
  <si>
    <t>Next Business Media</t>
  </si>
  <si>
    <t>DSCNEXT Data Science Conference</t>
  </si>
  <si>
    <t xml:space="preserve">7 a 9 de maio </t>
  </si>
  <si>
    <t>Amsterdam</t>
  </si>
  <si>
    <t>A SFI compôe o Núcleo de Inteligência Artificial da Anac e o evento proporcionará um acréscimo consideralvel na visão de amplo espectro a ser compartilhada com os demais componentes do núcleo em prol do fortalecimento da Política de Governaça de IA Anac e demais atuações relacionadas à IA na Anac.</t>
  </si>
  <si>
    <t>Safety Management International Collaboration Group (SM-ICG) - 2nd Meeting</t>
  </si>
  <si>
    <t>Milipol</t>
  </si>
  <si>
    <t>Milipol Paris 2025 customer area</t>
  </si>
  <si>
    <t>Evento global de referência em segurança interna, que apresenta as mais recentes tecnologias e inovações em defesa e inteligência. A participação é importante para manter a equipe atualizada e fortalecer parcerias internacionais.</t>
  </si>
  <si>
    <t xml:space="preserve"> O evento, referência em segurança e defesa, oferece acesso a inovações em segurança interna e gestão de crises para a aviação civil. A SFI já é participante do evento que explora  tecnologias avançadas e soluções para antecipar e mitigar ameaças à infraestrutura e operação do transporte aéreo. Alinhada à Política Nacional de Inteligência (PNI) e a Portaria de Organização Interna (POI) da Superintendência de Inteligência e Ação Fiscal, a presença da equipe da SFI fortalece a continuidade dos trabalhos já iniciados.</t>
  </si>
  <si>
    <t>Technical Cooperation Meetings - Country X</t>
  </si>
  <si>
    <t>ARSA</t>
  </si>
  <si>
    <t xml:space="preserve">Annual Repair Symposium </t>
  </si>
  <si>
    <t>ARSA classificado como B qdo atividade SAR. Em 2024 foi realizada com orçamento passagens 2023. Somente 1 dia de evento.</t>
  </si>
  <si>
    <t xml:space="preserve">America Latina somente presença Brasil (Embraer). </t>
  </si>
  <si>
    <t>Associação das oficinas americanas. Antecipação de problemas, demandas, melhores práticas setor americano.</t>
  </si>
  <si>
    <t>Fórum relevante da indústria de manutenção</t>
  </si>
  <si>
    <t>Superintendente palestrante</t>
  </si>
  <si>
    <t>Latam</t>
  </si>
  <si>
    <t>Latam Airport Summit</t>
  </si>
  <si>
    <t>Alterar para A, se convite para palestrar. Participação frequente da SRA</t>
  </si>
  <si>
    <t>Evento que reúne os setores público e privado de diversos países para discutir o desenvolvimento da infraestrutura aeroportuária, trazendo experiências e melhores práticas do setor.</t>
  </si>
  <si>
    <t>Palestrante/Observador</t>
  </si>
  <si>
    <t>AE-2 / AE -4  (Lightning Commitee/ Electromagnetic Compatibility Commitee) - 1st Meeting</t>
  </si>
  <si>
    <t>International Aircraft Materials Fire Test Forum (IAMFTF) - 1st Meeting</t>
  </si>
  <si>
    <t>Atlantic City</t>
  </si>
  <si>
    <t>A partir de 2020 haverá publicação de  4 alterações de requisitos de inflamabilidade e inclusão de 9 ACs. Há preocupações na indústria quanto ao uso dos ensaios de HHR (Heat Release Rate) alterado e da inclusão de um novo ensaios, o VFP (Vertical Flame Propagation) pois não há ainda histórico da aplicação desses ensaios e como eles serão aplicados no contexto das alterações do Apêndice F do RBAC 25. Participação em discussões sobre práticas que podem ser implementados sem necessidade de alteração imediata dos documentos vigentes; acompanhamento da evolução de propostas de alteração de documentos e guias voltados para ensaios, especialmente aqueles voltados para análise de similaridades; manter a visibilidade a Agência nas discussões técnicas relevantes. A: Certicação de tipo. ANAC, FAA, EASA, TCCA, 6 fabricantes. Special conditions resultantes de discussões do grupo. Aplicação imediata para indústria. RBAC 25. É importante que a ANAC esteja presente nas discussões entre autoridades e indústria para conhecer os desafios em relação ao desenvolvimento e certificação dos materiais de uso em interiores de aeronaves, que a cada ano apresentam novas composições eventualmente não abordadas nos guias atuais. B: Requisito de inflamabilidade está sendo extensivamente alterado neste momento com impactos para RBAC 23,25,27 e 29. C: Harmonizar requisitos, ter isonomia de mercado, reduz barreira burocrática, barreiras validação estrangeira. Afeta imediatamente a indústria; D1: Apresenta material sobre os temas, opinião. D2: Forum dedicado para ações de rulemaking. A presença da ANAC é esperada por ser vista como uma das 4 principais autoridades de aviação civil.</t>
  </si>
  <si>
    <t xml:space="preserve">Mudança nos ensaios de inflamabilidade e sua regulamentação </t>
  </si>
  <si>
    <t>Não haverá apresentação</t>
  </si>
  <si>
    <t>JOÃO MARIA ANTUNES LEITE</t>
  </si>
  <si>
    <t>International Aircraft Materials Fire Test Forum (IAMFTF) - 2nd Meeting</t>
  </si>
  <si>
    <t>ODSC Team </t>
  </si>
  <si>
    <t>East 2025 Conference | Open Data Science Conference</t>
  </si>
  <si>
    <t>East</t>
  </si>
  <si>
    <t>Reunir a comunidade global de ciência de dados, facilitar a troca de ideias inovadoras, promover o crescimento do software de código aberto e preparar profissionais de dados e IA de todos os níveis para o sucesso em seu campo em rápida mudança.
A SFI compôe o Núcleo de Inteligência Artificial da Anac e o evento proporcionará um acréscimo consideralvel na visão de amplo espectro a ser compartilhada com os demais componentes do núcleo em prol do fortalecimento da Política de Governaça de IA Anac e demais atuações relacionadas à IA na Anac</t>
  </si>
  <si>
    <t>MUNDO GEO</t>
  </si>
  <si>
    <t xml:space="preserve">Expo eVTOL 2ª Edição </t>
  </si>
  <si>
    <t>Participação 5 PCDPs</t>
  </si>
  <si>
    <t>Fórum</t>
  </si>
  <si>
    <r>
      <t>Fórum sobre mercado, investimentos,</t>
    </r>
    <r>
      <rPr>
        <b/>
        <sz val="12"/>
        <color theme="1"/>
        <rFont val="Times New Roman"/>
        <family val="1"/>
      </rPr>
      <t xml:space="preserve"> regulação</t>
    </r>
    <r>
      <rPr>
        <sz val="12"/>
        <color theme="1"/>
        <rFont val="Times New Roman"/>
        <family val="1"/>
      </rPr>
      <t xml:space="preserve">, tecnologia, </t>
    </r>
    <r>
      <rPr>
        <b/>
        <sz val="12"/>
        <color theme="1"/>
        <rFont val="Times New Roman"/>
        <family val="1"/>
      </rPr>
      <t>segurança, operação</t>
    </r>
    <r>
      <rPr>
        <sz val="12"/>
        <color theme="1"/>
        <rFont val="Times New Roman"/>
        <family val="1"/>
      </rPr>
      <t>, infraestrutura energética e do espaço aéreo relacionado à Mobilidade Aérea Avançada com ênfase nas cidades utilizando eVTOLs, considerado importante devido a experiência a ser hangarada.</t>
    </r>
  </si>
  <si>
    <t>First Global Air Cargo Summit</t>
  </si>
  <si>
    <t>First</t>
  </si>
  <si>
    <t>Transporte de carga, melhorar entendimento ANAC</t>
  </si>
  <si>
    <t>EUA / Turquia?</t>
  </si>
  <si>
    <t>Compreender melhor o mercado de transporte de cargas em alinhamento com a atuação no ILC</t>
  </si>
  <si>
    <t>ECON 4</t>
  </si>
  <si>
    <t>Fórum Jurídico de Lisboa</t>
  </si>
  <si>
    <t>Procurador-chefe ou outra pessoa da equipe</t>
  </si>
  <si>
    <t>o evento reúne membros renomados da Academia, da cúpula do Judiciário e de importantes bancas de advocacia do País. Reiteradamente o procurador-Chefe da ANAC tem sido nominalmente convidado a participar do evento e a palestrar. O evento é, portanto, uma ocasião importante para divulgação dos entendimentos jurídicos de interesse da ANAC e de consolidação - em esferas importantes - desses posicionamentos. Coloca a ANAC em local de prestígio no ambiente jurídico, com evidentes ganhos de espaço e de troca de informações.</t>
  </si>
  <si>
    <t>Gartner Data &amp; Analytics Summit</t>
  </si>
  <si>
    <t>Gartner</t>
  </si>
  <si>
    <t>A participação na East 2025 Conference | Open Data Science Conference, organizada pela Open Data Science Conference (ODSC), é fundamental para a SFI, pois envolve o uso avançado de ciência de dados e tecnologias emergentes na gestão de crises no setor da aviação civil. Este evento, que abordará temas como inteligência artificial, aprendizado de máquina, e big data, oferece à SFI a oportunidade de adquirir ferramentas e estratégias inovadoras para antecipar e mitigar ameaças, especialmente aquelas que possam comprometer a infraestrutura crítica e a continuidade operacional do transporte aéreo. 
A SFI compôe o Núcleo de Inteligência Artificial da Anac e o evento proporcionará um acréscimo consideralvel na visão de amplo espectro a ser compartilhada com os demais componentes do núcleo em prol do fortalecimento da Política de Governaça de IA Anac e demais atuações relacionadas à IA na Anac</t>
  </si>
  <si>
    <t>IARIA</t>
  </si>
  <si>
    <t>Tenth International Conference on Cyber-Technologies and Cyber-Systems - CYBER 2025</t>
  </si>
  <si>
    <t>Tenth</t>
  </si>
  <si>
    <t>A conferência aborda as últimas inovações em tecnologias cibernéticas e sistemas de defesa cibernética, alinhada às necessidades de atualização técnica contínua da equipe.</t>
  </si>
  <si>
    <t>A participação na Tenth International Conference on Cyber-Technologies and Cyber-Systems (CYBER 2025) é importante para a SFI, pois aborda inovações e desafios em cibersegurança e resiliência cibernética. O evento permitirá que SFI  aprimore suas capacidades para antecipar e mitigar ameaças à infraestrutura crítica e à continuidade operacional do transporte aéreo. Alinhada à Política Nacional de Inteligência (PNI) e a Portaria de Organização Interna (POI) da Superintendência de Inteligência e Ação Fiscal , a conferência fortalece a capacidade de resposta a crises cibernéticas, além de promover a cooperação internacional e o compartilhamento de informações estratégicas.</t>
  </si>
  <si>
    <t>Traveller Identification Programme (TRIP) Symposium</t>
  </si>
  <si>
    <t>20th</t>
  </si>
  <si>
    <t>Simpósio anual que ocorre normalmente em Montreal no último trimestre do ano. Sem confirmação ainda.</t>
  </si>
  <si>
    <t>Evento sobre documentos de viagem e facilitação da experiência do passageiro. Assuntos do Anexo 9.</t>
  </si>
  <si>
    <t>A-22 Fire Protection and Flammability Testing Committee</t>
  </si>
  <si>
    <t>Discussão das normas relacionada a fire protection. Principalmente AS6826, que irá substituir AC 20-135.</t>
  </si>
  <si>
    <t>Ministrar curso relacionado com certificação aeronáutica no âmbito do sistema regional - Technical Cooperation</t>
  </si>
  <si>
    <t>Ministrar</t>
  </si>
  <si>
    <t>Sem custo ANAC Nova missão</t>
  </si>
  <si>
    <t>Cooperação técnica para desenvolvimento do sistema regional.</t>
  </si>
  <si>
    <t>Engine &amp; Powerplant Interface Working Group (EPIWG)</t>
  </si>
  <si>
    <t>Engine</t>
  </si>
  <si>
    <t>WG criado em substituição ao CMT EACTB, que foi suspenso em 2023. Está com status de ARAC atualmente.</t>
  </si>
  <si>
    <t>Apresentação relevante da ANAC para o tema.</t>
  </si>
  <si>
    <t>Seminario Anual de Seguridad em Aeronavegabilidad</t>
  </si>
  <si>
    <t>Seminario</t>
  </si>
  <si>
    <t>Identificação de problemas, áreas de interesse mútuo ou boas práticas de seguranlça operacional para região</t>
  </si>
  <si>
    <t xml:space="preserve">TRAINAIR Trainers and Validators Regional Meeting </t>
  </si>
  <si>
    <t>Não tem acontecido</t>
  </si>
  <si>
    <t>Atualização técnica e troca de experiências entre os preparadores e validadores de cursos TRAINAIR</t>
  </si>
  <si>
    <t>ANDRE LEONARDO</t>
  </si>
  <si>
    <t>SAE G-10H Human Factors Consid Cert of Flight Deck-Cockpit Equip - 2nd Meeting</t>
  </si>
  <si>
    <t>Grupo que está desenvolvendo a nova norma ARP7143 Human Factors Recommended Practices for Showing Compliance to Regulation 25.1302. A ANAC foi convidada a participar e o Silva Cruz atendeu a primeira reunião híbrida remotamente. FAA e TCCA também participando.</t>
  </si>
  <si>
    <t>SILVIO LUCIO , HOMERO MONTANDON</t>
  </si>
  <si>
    <t>2025PAI70ECON</t>
  </si>
  <si>
    <t>Acompanhar Dir Luiz Ricardo</t>
  </si>
  <si>
    <t>AESA</t>
  </si>
  <si>
    <t>Visita Técnica AESA</t>
  </si>
  <si>
    <t>2025PAI44CTEC001</t>
  </si>
  <si>
    <t>Meia diária. Passagem e hospedagem pela AESA</t>
  </si>
  <si>
    <t>Madri</t>
  </si>
  <si>
    <t>ARIEL JUAN DIAS QUINTEROS</t>
  </si>
  <si>
    <t>00066.004288/2025-93</t>
  </si>
  <si>
    <t>FABIO CESAR DA COSTA BERTOCCO</t>
  </si>
  <si>
    <t>Visita Técnica para subsidiar estudo do tema da Agenda Regulatória - Inspeção de segurança por meio da utilização de cães farejadores de explosivos</t>
  </si>
  <si>
    <t>2025PAI44CTEC002</t>
  </si>
  <si>
    <t>Nova missão. Security também</t>
  </si>
  <si>
    <t xml:space="preserve">AUTORIZADA  </t>
  </si>
  <si>
    <t>MARCOS VINICIUS CASTELLANI</t>
  </si>
  <si>
    <t>00066.004301/2025-12</t>
  </si>
  <si>
    <t>VAGNER DE MENEZES NETO</t>
  </si>
  <si>
    <t>Coordenação das discussões dos painéis técnicos do SRVSOP. Definição plano de trabalho SRVSOP do ano seguinte. Decisões para encaminhamento à JG para aprovação.</t>
  </si>
  <si>
    <t>Solicitud de apoyo con RRHH - Curso de Instructor de Seguridad de la Aviación Civil</t>
  </si>
  <si>
    <t>Solicitud</t>
  </si>
  <si>
    <t>2025PAI01CTEC003</t>
  </si>
  <si>
    <t>Ciudad de Panamá</t>
  </si>
  <si>
    <t>Instrutor</t>
  </si>
  <si>
    <t>00058.029838/2025-86</t>
  </si>
  <si>
    <t>Solicitud de Apoyo con Recursos Humanos para evento de capacitación – Taller Evaluación de Seguridad Operacional – NASO/NESO Edición 2025</t>
  </si>
  <si>
    <t>2025PAI04CTEC003</t>
  </si>
  <si>
    <t>Custeada pelo SRVSOP - RLA/99/901. Necessário apenas seguro viagem.</t>
  </si>
  <si>
    <t>Javã Atayde Pedreira da Silva</t>
  </si>
  <si>
    <t>00058.023191/2025-89</t>
  </si>
  <si>
    <t>Solicitud de Apoyo con Recursos Humanos para actividad multinacional – Renovación de la organización de mantenimiento Ecocopter de Chile</t>
  </si>
  <si>
    <t>2025PAI04CTEC004</t>
  </si>
  <si>
    <t>LATAM</t>
  </si>
  <si>
    <t>2025PAI44ECON001</t>
  </si>
  <si>
    <t>Sem custo para ANAC, apenas seguro saúde</t>
  </si>
  <si>
    <t>Não Prevista</t>
  </si>
  <si>
    <t>Santo Domingo</t>
  </si>
  <si>
    <t>00066.006031/2025-76</t>
  </si>
  <si>
    <t>Associate Administrator for Aviation Safety</t>
  </si>
  <si>
    <t>Secondary Flightdeck Barrier on Commercial Passenger Aircraft Aviation Rulemaking Committee (ARC)</t>
  </si>
  <si>
    <t>2nd in person Meeting </t>
  </si>
  <si>
    <t>2025PAI44PAER001</t>
  </si>
  <si>
    <t>Nova missão solicitada pela SAR, usará o slot da missão cancelada TST 25.1322</t>
  </si>
  <si>
    <t>00066.005339/2025-02</t>
  </si>
  <si>
    <t>OACI LIMA</t>
  </si>
  <si>
    <t>Solicitud de apoyo con recursos humanos - Taller sobre fenómenos severos meteorológicos y la aviación</t>
  </si>
  <si>
    <t>2025PAI02CTEC005</t>
  </si>
  <si>
    <t>Necessário apenas seguro viagem.</t>
  </si>
  <si>
    <t>Rodrigo Ortolá Torres</t>
  </si>
  <si>
    <t>00058.033410/2025-38</t>
  </si>
  <si>
    <t>00066.006025/2025-19</t>
  </si>
  <si>
    <t>Solicitud de apoyo con recursos humano -  revisión del manual del inspector de operaciones 
(MIO) y la circular de asesoramiento (CA) conexa, sobre la aprobación específica para las operaciones de 
baja visibilidad CAT II/III para los explotadores de servicios aéreos y de la aviación general</t>
  </si>
  <si>
    <t>2025PAI04CTEC006</t>
  </si>
  <si>
    <t>Safety Management Panel Working Group 3 - Safety Intelligence Meeting</t>
  </si>
  <si>
    <t>Oscar</t>
  </si>
  <si>
    <t>2nd Edition</t>
  </si>
  <si>
    <t>2025PAI44ECON002</t>
  </si>
  <si>
    <t>Nova missão solicitada por email em 23MAY25</t>
  </si>
  <si>
    <t>This is an exclusive event that brings together the most influential leaders in the aviation industry and aims to foster discussions and collaborations that will shape the future of aviation in the region.</t>
  </si>
  <si>
    <t>Tiago Sousa Pereira</t>
  </si>
  <si>
    <t>FAA/Delta</t>
  </si>
  <si>
    <t>ASAP</t>
  </si>
  <si>
    <t>Nova missão solicitada por email em 04APR25</t>
  </si>
  <si>
    <t>Women Summit Meeting</t>
  </si>
  <si>
    <t>2025PAI03CTEC001</t>
  </si>
  <si>
    <t>Inclusão solicitada via Teams em 29MAY25. Sem custos para ANAC.</t>
  </si>
  <si>
    <t>Guatemala</t>
  </si>
  <si>
    <t>Ana Benevides</t>
  </si>
  <si>
    <t>Unidade</t>
  </si>
  <si>
    <t>ORÇAMENTO POR UDVD 
4mi</t>
  </si>
  <si>
    <t>ORÇAMENTO POR UDVD 
3,3mi</t>
  </si>
  <si>
    <t>ASSEMBLEIA</t>
  </si>
  <si>
    <t xml:space="preserve">SUBTOTAL </t>
  </si>
  <si>
    <t>TOTAL</t>
  </si>
  <si>
    <t>dolar</t>
  </si>
  <si>
    <t>missões</t>
  </si>
  <si>
    <t>pcdps</t>
  </si>
  <si>
    <t>PAI 2024 Solicitado</t>
  </si>
  <si>
    <t>% 2024 Solicitado</t>
  </si>
  <si>
    <t>PAI 2024 Concedido</t>
  </si>
  <si>
    <t>PAI 2024 Concedido Rev</t>
  </si>
  <si>
    <t>% 2024 Concedido</t>
  </si>
  <si>
    <t>PAI 2024 Executado</t>
  </si>
  <si>
    <t>% 2024 Executado</t>
  </si>
  <si>
    <t>PAI 2025 Solicitado A + B</t>
  </si>
  <si>
    <t>PAI 2025 Solicitado A</t>
  </si>
  <si>
    <t>PAI 2025 Revisado A</t>
  </si>
  <si>
    <t>Proposta Mineiro</t>
  </si>
  <si>
    <t>PROPOSTA 4mi</t>
  </si>
  <si>
    <t>COMPROMETIDO (SAF)</t>
  </si>
  <si>
    <t>OBS</t>
  </si>
  <si>
    <t>DIRETORIAS +  GAB</t>
  </si>
  <si>
    <t>PF-ANAC</t>
  </si>
  <si>
    <t>PCDPs</t>
  </si>
  <si>
    <t>Dias de Evento</t>
  </si>
  <si>
    <t>ORÇAMENTO REVISADO</t>
  </si>
  <si>
    <t>12 (1); 5 (4)</t>
  </si>
  <si>
    <t>NOVO ASSESSOR DE TRANSPORTE AÉREO</t>
  </si>
  <si>
    <t>RAAC</t>
  </si>
  <si>
    <t>Coluna1</t>
  </si>
  <si>
    <t>2018</t>
  </si>
  <si>
    <t>2019</t>
  </si>
  <si>
    <t>2020</t>
  </si>
  <si>
    <t>2021</t>
  </si>
  <si>
    <t>2022</t>
  </si>
  <si>
    <t>2023</t>
  </si>
  <si>
    <t>2024</t>
  </si>
  <si>
    <t>2025 Revisado</t>
  </si>
  <si>
    <t>PAI Solicitado BRL</t>
  </si>
  <si>
    <t>PAI Aprovado BRL</t>
  </si>
  <si>
    <t>PAI Solicitado USD</t>
  </si>
  <si>
    <t>PAI Aprovado USD</t>
  </si>
  <si>
    <t>Cotação Dólar Planejamento</t>
  </si>
  <si>
    <t>Qtde Missões Realizadas</t>
  </si>
  <si>
    <t>Qtde PCDPs Executadas</t>
  </si>
  <si>
    <t>Orçamento ANAC BRL</t>
  </si>
  <si>
    <t>Orçamento ANAC USD</t>
  </si>
  <si>
    <t>Percentual PAI Aprovado / ANAC</t>
  </si>
  <si>
    <t>Buffer Aprovado</t>
  </si>
  <si>
    <t>PAI Executado BRL</t>
  </si>
  <si>
    <t>Corte orçamentário</t>
  </si>
  <si>
    <t>CD-I, CD-II, CGE-I</t>
  </si>
  <si>
    <t>CGE-II, CGE-III, CA-I, CA-II, CCT-V</t>
  </si>
  <si>
    <t>CGE-IV, CCT-IV, CA-III, CCT-III</t>
  </si>
  <si>
    <t>ocupante de cargo ou emprego de nível superior
CAS-I, CAS-II, CCT-I, CCT-II</t>
  </si>
  <si>
    <t>ocupante de qualquer outro cargo ou emprego</t>
  </si>
  <si>
    <t>GRUPOS/PAÍSES</t>
  </si>
  <si>
    <t>Classe I</t>
  </si>
  <si>
    <t>Classe II</t>
  </si>
  <si>
    <t>Classe III</t>
  </si>
  <si>
    <t>Classe IV</t>
  </si>
  <si>
    <t>Classe V</t>
  </si>
  <si>
    <t>Afeganistão, Armênia, Bangladesh, Belarus, Benin, Bolívia, Burkina-Fasso, Butão, Chile, Comores, República Popular Democrática da Coréia, Costa Rica, El Salvador, Equador, Eslovênia, Filipinas, Gâmbia, Guiana, Guiné Bissau, Guiné, Honduras, Indonésia, Irã, Iraque, Laos, Líbano, Malásia, Maldivas, Marrocos, Mongólia, Myanmar, Namíbia, Nauru, Nepal, Nicarágua, Panamá, Paraguai, Rep. Centro Africana, República Togolesa, Salomão, Samoa,  Serra Leoa, Síria, Somália, Sri Lanka, Suriname, Tadjiquistão, Tailândia, Timor Leste, Tonga, Tunísia, Turcomenistão, Turquia, Tuvalu, Vietnã, Zimbábue.</t>
  </si>
  <si>
    <t>África do Sul, Albânia, Andorra, Argélia, Argentina, Austrália, Belize, Bósnia-Herzegóvina, Burundi, Cabo Verde, Camarões, Camboja, Catar, Chade, China, Chipre, Colômbia,  Dominica, Egito, Eritréia, Estônia, Etiópia, Gana, Geórgia, Guiné- Equatorial, Haiti, Hungria, Iêmen, Ilhas Marshall, Índia, Kiribati, Lesoto, Líbia, Macedônia, Madagascar, Malauí, Micronésia, Moçambique, Moldávia, Níger, Nigéria, Nova Zelândia, Palau, Papua Nova Guiné, Paquistão, Peru, Polônia, Quênia, República Dominicana, República Eslovaca, Romênia, Ruanda, São Tomé e Príncipe, Senegal, Sudão, Tanzânia, Uruguai, Uzbequistão, Venezuela.</t>
  </si>
  <si>
    <t>C</t>
  </si>
  <si>
    <t>Antígua e Barbuda, Arábia Saudita, Azerbaidjão, Bahamas, Bareine, Botsuana, Brunei Darussalam, Bulgária, Canadá, Cingapura, Congo, Costa do Marfim, Cuba, Djibuti, Emirados Árabes, Fiji, Gabão, Guatemala, Jamaica, Jordânia, Letônia, Libéria, Lituânia, Mali, Malta, Maurício, Mauritânia, México, República Democrática do Congo, República Tcheca, Rússia, San Marino, Santa Lúcia, São Cristovão e Névis, São Vicente e Granadinas, Taiwan, Trinidad e Tobago, Ucrânia, Uganda, Zâmbia.</t>
  </si>
  <si>
    <t>D</t>
  </si>
  <si>
    <t>Alemanha, Angola, Áustria, Barbados, Bélgica, Cazaquistão, Coréia do Sul, Croácia, Dinamarca, Espanha, Estados Unidos da América, Finlândia, França, Granada, Grécia, Hong Kong, Irlanda, Islândia, Israel, Itália, Japão, Kuaite, Liechtenstein, Luxemburgo, Mônaco, Montenegro, Noruega, Omã, Países Baixos, Portugal, Reino Unido, República Quirguiz, Seicheles, Sérvia, Suazilândia, Suécia, Suíça, Vanuatu. </t>
  </si>
  <si>
    <t>Classe</t>
  </si>
  <si>
    <t>Cargo, Função, Emprego, Posto ou Graduação</t>
  </si>
  <si>
    <t>I</t>
  </si>
  <si>
    <t>A - Ministros de Estado, Titulares de Representações Diplomáticas Brasileiras, Secretários de Estado, Observador Parlamentar, Ministro de 1ª Classe da Carreira Diplomata, Cargos em Comissão de Natureza Especial, DAS-6 e CD-1, Presidente, Diretores e FDS-1 do BACEN, Presidente de Empresas Estatais, Fundação Pública, Sociedade de Economia Mista e Fundação sob supervisão Ministerial.</t>
  </si>
  <si>
    <t>Agências Reguladoras: CD-I, CD-II, CGE-I</t>
  </si>
  <si>
    <t>B - Comandantes do Exército, da Marinha e da Aeronáutica, Almirante-de-Esquadra, General-de-Exército e Tenente-Brigadeiro.);</t>
  </si>
  <si>
    <t>II</t>
  </si>
  <si>
    <t>A - Cargos em Comissão DAS-5 e CD-2, FDE-1, FCA-1 e Cargos Comissionados Temporários do BACEN, Ministro de 2ª Classe da Carreira Diplomata, Diretor de Empresa Pública, Sociedade de Economia Mista e Fundação sob supervisão Ministerial.</t>
  </si>
  <si>
    <t>Agências Reguladoras: CGE-II, CGE-III, CA-I, CA-II, CCT-V</t>
  </si>
  <si>
    <t>B - Vice-Almirante, General-de-Divisão, Major-Brigadeiro, Contra-Almirante, General-de-Brigada e Brigadeiro.</t>
  </si>
  <si>
    <t>III</t>
  </si>
  <si>
    <t>A - Conselheiro e Secretário da Carreira de Diplomata, Chefes de Delegação Governamental,Cargos em Comissão DAS-4, DAS-3, CD-3 e CD-4, FDE-2, FDT-1, FCA-2, FCA-3 ou nível hierárquico equivalente nas Empresas Públicas, Sociedadesde Economia Mista e Fundações sob supervisão Ministerial.</t>
  </si>
  <si>
    <t>Agências Reguladoras: CGE-IV, CCT-IV, CA-III, CCT-III</t>
  </si>
  <si>
    <t>B - Oficial Superior.</t>
  </si>
  <si>
    <t>IV</t>
  </si>
  <si>
    <r>
      <t xml:space="preserve">A - Oficial-de-Chancelaria, Titular de Vice-Consulado de Carreira, Delegado e Assessor emDelegação Governamental, Cargo em Comissão DAS-2, DAS-1, FDO-1, FCA-4, FCA-5 e cargos de Analista e Procurador do BACEN ou de nível equivalente nas Empresas Públicas, Sociedades de Economia Mista e Fundações sob supervisão ministerial e </t>
    </r>
    <r>
      <rPr>
        <b/>
        <i/>
        <sz val="11"/>
        <color theme="1"/>
        <rFont val="Calibri"/>
        <family val="2"/>
        <scheme val="minor"/>
      </rPr>
      <t>ocupante de cargo ou emprego de nível superior.</t>
    </r>
  </si>
  <si>
    <t>Agências Reguladoras: CAS-I, CAS-II, CCT-I, CCT-II</t>
  </si>
  <si>
    <t>B - Oficial-Intermediário, Oficial-Subalterno, Guarda-Marinha e Aspirante-a-Oficial.</t>
  </si>
  <si>
    <t>V</t>
  </si>
  <si>
    <r>
      <t xml:space="preserve">A - Assistente de Chancelaria, Técnico de suporte e demais cargos comissionados do BACENe </t>
    </r>
    <r>
      <rPr>
        <b/>
        <i/>
        <sz val="11"/>
        <color theme="1"/>
        <rFont val="Calibri"/>
        <family val="2"/>
        <scheme val="minor"/>
      </rPr>
      <t>ocupante de qualquer outro cargo ou emprego.</t>
    </r>
  </si>
  <si>
    <t>B - Aspirante e Cadete, Suboficial e Subtenente, Sargento, Aluno, Taifeiro, Cabo, Marinheiro, Soldado, Grumete, Recruta e Aprendiz-Marinheiro.</t>
  </si>
  <si>
    <t>Amanda Silva de Souza Landim</t>
  </si>
  <si>
    <t>Fernanda Mattos Carpinteiro dos Santos.</t>
  </si>
  <si>
    <t>Julianara Gomes Correa de Oliveira Porto</t>
  </si>
  <si>
    <t>Mared Farias de Lima e Silva Hoerhan</t>
  </si>
  <si>
    <t>Leonardo Esteves</t>
  </si>
  <si>
    <t xml:space="preserve">Jennifer Heringer </t>
  </si>
  <si>
    <t>Helena Wagner Umbelino</t>
  </si>
  <si>
    <t>Daiane Ribeiro de Souza</t>
  </si>
  <si>
    <t>Manoel Braz de Souza</t>
  </si>
  <si>
    <t>SGM/GMAT</t>
  </si>
  <si>
    <t>Ricardo Antonio Binotto Dupont</t>
  </si>
  <si>
    <t>Bruno Hidalgo Rodrigues</t>
  </si>
  <si>
    <t>Valdemar Vilutis</t>
  </si>
  <si>
    <t>Sérgio Alexsander Leitão</t>
  </si>
  <si>
    <t>Marcos Rogério dos Santos</t>
  </si>
  <si>
    <t>Priscilla Brito Silva Vieira</t>
  </si>
  <si>
    <t>PROC</t>
  </si>
  <si>
    <t>Amanda Loiola Caluwaerts</t>
  </si>
  <si>
    <t>Beatriz Maria Madeira Alvarenga</t>
  </si>
  <si>
    <t>Tainá Menende da Silva</t>
  </si>
  <si>
    <t>DIR-RC</t>
  </si>
  <si>
    <t>Roberto da Rosa Costa</t>
  </si>
  <si>
    <t>Diego Oliveira Marques de Araujo</t>
  </si>
  <si>
    <t>DIR-RBC</t>
  </si>
  <si>
    <t>Cristina Vilasboas</t>
  </si>
  <si>
    <t>Ilana de Castro Guimarães</t>
  </si>
  <si>
    <t>Organismo</t>
  </si>
  <si>
    <t>Colunas1</t>
  </si>
  <si>
    <t>Colunas2</t>
  </si>
  <si>
    <t>Ano</t>
  </si>
  <si>
    <t>Macrotema</t>
  </si>
  <si>
    <t>Radical</t>
  </si>
  <si>
    <t>Sequencial</t>
  </si>
  <si>
    <t>Código</t>
  </si>
  <si>
    <t>País</t>
  </si>
  <si>
    <t>Data de Início</t>
  </si>
  <si>
    <t>Data de Fim</t>
  </si>
  <si>
    <t>UORG1</t>
  </si>
  <si>
    <t>UORG2</t>
  </si>
  <si>
    <t>UORG3</t>
  </si>
  <si>
    <t>UORG4</t>
  </si>
  <si>
    <t>UORG5</t>
  </si>
  <si>
    <t>AAAE</t>
  </si>
  <si>
    <t>Regulação econômica</t>
  </si>
  <si>
    <t>ECON</t>
  </si>
  <si>
    <t>Global Aviation Summit 2019 - India</t>
  </si>
  <si>
    <t>2019PAI44ECON</t>
  </si>
  <si>
    <t>2019PAI44ECON001</t>
  </si>
  <si>
    <t>India</t>
  </si>
  <si>
    <t>Mumbai</t>
  </si>
  <si>
    <t>AAMSG</t>
  </si>
  <si>
    <t>Produtos aeronáuticos</t>
  </si>
  <si>
    <t>PAER</t>
  </si>
  <si>
    <t>SAE S-18 (Aircrafty &amp; Systems Development &amp; Safety Assessment Comittee) - 1st Meeting 2019</t>
  </si>
  <si>
    <t>2019PAI17PAER</t>
  </si>
  <si>
    <t>2019PAI17PAER001</t>
  </si>
  <si>
    <t>Tucson</t>
  </si>
  <si>
    <t>SAFE</t>
  </si>
  <si>
    <t>SENS4ICE Horizon 2020 - Advisory Board</t>
  </si>
  <si>
    <t>2019PAI36PAER</t>
  </si>
  <si>
    <t>2019PAI36PAER001</t>
  </si>
  <si>
    <t>SENS4ICE</t>
  </si>
  <si>
    <t>AFCAC</t>
  </si>
  <si>
    <t>Meio ambiente</t>
  </si>
  <si>
    <t>AMBI</t>
  </si>
  <si>
    <t>SAE Aircraft SEAT Committee - 1st Meeting 2019</t>
  </si>
  <si>
    <t>2019PAI17PAER002</t>
  </si>
  <si>
    <t>Sedona, AZ</t>
  </si>
  <si>
    <t xml:space="preserve">ALTA  </t>
  </si>
  <si>
    <t>Capacitação e treinamento</t>
  </si>
  <si>
    <t>EU Joint Committee Meeting</t>
  </si>
  <si>
    <t>2019PAI42SAFE</t>
  </si>
  <si>
    <t>2019PAI42SAFE001</t>
  </si>
  <si>
    <t>Brasília</t>
  </si>
  <si>
    <t>SECU</t>
  </si>
  <si>
    <t>CAA-UK (Civil Aviation Authority of the United Kingdom) Meeting</t>
  </si>
  <si>
    <t>2019PAI42PAER</t>
  </si>
  <si>
    <t>2019PAI42PAER001</t>
  </si>
  <si>
    <t>Direito aeronáutico internacional</t>
  </si>
  <si>
    <t>DINT</t>
  </si>
  <si>
    <t>EASA Training / Workshop Ice Detection</t>
  </si>
  <si>
    <t>2019PAI07PAER</t>
  </si>
  <si>
    <t>2019PAI07PAER001</t>
  </si>
  <si>
    <t>AWG</t>
  </si>
  <si>
    <t>ICAO Assembly</t>
  </si>
  <si>
    <t>ASSE</t>
  </si>
  <si>
    <t xml:space="preserve">ICAO Cross Boarder Transferability (XBT) of Aircraft Working Group - 3rd Meeting </t>
  </si>
  <si>
    <t>2019PAI01SAFE</t>
  </si>
  <si>
    <t>2019PAI01SAFE001</t>
  </si>
  <si>
    <t>Cooperação técnica internacional</t>
  </si>
  <si>
    <t>CTEC</t>
  </si>
  <si>
    <t>Global Investment in Aviation Summit (GIAS)</t>
  </si>
  <si>
    <t>2019PAI44ECON002</t>
  </si>
  <si>
    <t>Emirados Árabes Unidos</t>
  </si>
  <si>
    <t>FACI</t>
  </si>
  <si>
    <t>SAE AE-2 (Lightning) - 1st Meeting 2019</t>
  </si>
  <si>
    <t>2019PAI17PAER003</t>
  </si>
  <si>
    <t>ICAO Committee on Aviation Environmental Protection Panel (CAEP/11) - 11th Meeting</t>
  </si>
  <si>
    <t>2019PAI01AMBI</t>
  </si>
  <si>
    <t>2019PAI01AMBI001</t>
  </si>
  <si>
    <t>ICAO UPU Contact Committee (CC) - 2nd Meeting</t>
  </si>
  <si>
    <t>2019PAI01SAFE002</t>
  </si>
  <si>
    <t>France Air Services Consultation Meeting</t>
  </si>
  <si>
    <t>2019PAI42ECON</t>
  </si>
  <si>
    <t>2019PAI42ECON001</t>
  </si>
  <si>
    <t xml:space="preserve">Rio de Janeiro </t>
  </si>
  <si>
    <t>ICAO Next Generation of Aviation Professionals (NGAP) - Task Force</t>
  </si>
  <si>
    <t>2019PAI01CAPA</t>
  </si>
  <si>
    <t>2019PAI01CAPA001</t>
  </si>
  <si>
    <t>CBTA</t>
  </si>
  <si>
    <t>SRVSOP UPRT (Upset Prevention and Recovery Training) Meeting</t>
  </si>
  <si>
    <t>2019PAI04SAFE</t>
  </si>
  <si>
    <t>2019PAI04SAFE001</t>
  </si>
  <si>
    <t>ICAO SAM Civil Aviation Cybersecurity Workshop</t>
  </si>
  <si>
    <t>2019PAI02SECU</t>
  </si>
  <si>
    <t>2019PAI02SECU001</t>
  </si>
  <si>
    <t xml:space="preserve">Argentina </t>
  </si>
  <si>
    <t xml:space="preserve">Buenos Aires </t>
  </si>
  <si>
    <t>ICAO NACC/SAM</t>
  </si>
  <si>
    <t>CMH-17</t>
  </si>
  <si>
    <t>RASG-PA Pan-America Regional Aviation Safety Team (PA-RAST 35) - 35th Meeting</t>
  </si>
  <si>
    <t>2019PAI05SAFE</t>
  </si>
  <si>
    <t>2019PAI05SAFE001</t>
  </si>
  <si>
    <t xml:space="preserve">CMT  </t>
  </si>
  <si>
    <t xml:space="preserve">ICAO SAM / EASA Joint Workshop on Drones </t>
  </si>
  <si>
    <t>2019PAI02SAFE</t>
  </si>
  <si>
    <t>2019PAI02SAFE001</t>
  </si>
  <si>
    <t>FAA Overarching Properties Working Group - 1st Meeting 2019</t>
  </si>
  <si>
    <t>2019PAI06PAER</t>
  </si>
  <si>
    <t>2019PAI06PAER001</t>
  </si>
  <si>
    <t>ICAO Obstacle Limitation Surface Task Force (OLSTF)</t>
  </si>
  <si>
    <t>2019PAI01SAFE003</t>
  </si>
  <si>
    <t>ENAC</t>
  </si>
  <si>
    <t>IATA AVSEC World 2019</t>
  </si>
  <si>
    <t>2019PAI14SECU</t>
  </si>
  <si>
    <t>2019PAI14SECU001</t>
  </si>
  <si>
    <t>ICAO Working Group on Innovation in Aviation Securiy (WGIAS​)</t>
  </si>
  <si>
    <t>2019PAI01SECU</t>
  </si>
  <si>
    <t>2019PAI01SECU001</t>
  </si>
  <si>
    <t>European Commission</t>
  </si>
  <si>
    <t>FAA Flight Test Harmonization Working Group (FTHWG) - 1st Meeting 2019</t>
  </si>
  <si>
    <t>2019PAI06PAER002</t>
  </si>
  <si>
    <t>ICAO SAM Safety Data Collection and Processing Systems (SDCPS) Regional Workshop</t>
  </si>
  <si>
    <t>2019PAI02SAFE002</t>
  </si>
  <si>
    <t>FAA/EASA</t>
  </si>
  <si>
    <t>FAA International Aircraft Materials Fire Test Forum (IAMFTF) - 1st Meeting 2019</t>
  </si>
  <si>
    <t>2019PAI06PAER003</t>
  </si>
  <si>
    <t>IATA Legal Symposium</t>
  </si>
  <si>
    <t>2019PAI14DINT</t>
  </si>
  <si>
    <t>2019PAI14DINT001</t>
  </si>
  <si>
    <t>Itália</t>
  </si>
  <si>
    <t>Roma</t>
  </si>
  <si>
    <t>FAA Maintenance Agreement Guidance (MAG) Development under Bilateral Aviation Safety Agreement (BASA) - 1st Meeting 2019</t>
  </si>
  <si>
    <t>2019PAI06SAFE</t>
  </si>
  <si>
    <t>2019PAI06SAFE001</t>
  </si>
  <si>
    <t>Washington DC</t>
  </si>
  <si>
    <t>GACA (General Authority of Civil Aviation)</t>
  </si>
  <si>
    <t>ICAO Remotely Piloted Aircraft Systems Panel (RPASP/13) - 13th Meeting</t>
  </si>
  <si>
    <t>2019PAI01SAFE004</t>
  </si>
  <si>
    <t>ACI 11th Airport Economics Finance Conference &amp; Exhibition</t>
  </si>
  <si>
    <t>2019PAI16ECON</t>
  </si>
  <si>
    <t>2019PAI16ECON001</t>
  </si>
  <si>
    <t>Inglaterra</t>
  </si>
  <si>
    <t>GAMA</t>
  </si>
  <si>
    <t>ICAO SAM Extended Diversion Time Operations (EDTO) - 2nd Regional Meeting</t>
  </si>
  <si>
    <t>2019PAI02SAFE003</t>
  </si>
  <si>
    <t>GTI</t>
  </si>
  <si>
    <t xml:space="preserve">ICAO USAP-CMA (Universal Security Audit Programme Continuous Monitoring Approach) </t>
  </si>
  <si>
    <t>2019PAI01SECU002</t>
  </si>
  <si>
    <t>Cuba</t>
  </si>
  <si>
    <t>Havana</t>
  </si>
  <si>
    <t>ICAO Heliport Design Working Group (HDWG/13) - 13th Meeting</t>
  </si>
  <si>
    <t>2019PAI01SAFE005</t>
  </si>
  <si>
    <t>Alexandria</t>
  </si>
  <si>
    <t>IBAS</t>
  </si>
  <si>
    <t>CLAC Grupo de Expertos em Asuntos Políticos, Económicos y Jurídicos del Transporte Aéreo (GEPEJTA/42) - 42a Reunión</t>
  </si>
  <si>
    <t>2019PAI03ECON</t>
  </si>
  <si>
    <t>2019PAI03ECON001</t>
  </si>
  <si>
    <t xml:space="preserve">Antigua  </t>
  </si>
  <si>
    <t>CLAC Grupo de Gestión (GRUGES/8) - 8a Reunión</t>
  </si>
  <si>
    <t>2019PAI03ECON002</t>
  </si>
  <si>
    <t>ICAF</t>
  </si>
  <si>
    <t xml:space="preserve">ARSA Symposium </t>
  </si>
  <si>
    <t>2019PAI41SAFE</t>
  </si>
  <si>
    <t>2019PAI41SAFE001</t>
  </si>
  <si>
    <t>Arlington</t>
  </si>
  <si>
    <t>JARUS Joint Authorities for Rulemaking on Unmanned Systems - 1st Meeting 2019</t>
  </si>
  <si>
    <t>2019PAI43PAER</t>
  </si>
  <si>
    <t>2019PAI43PAER001</t>
  </si>
  <si>
    <t>Polônia</t>
  </si>
  <si>
    <t>Katowice</t>
  </si>
  <si>
    <t>Multilateral</t>
  </si>
  <si>
    <t>ICAO Airport Economics Panel (AEP) Working Group  and Air Navigation Services Economics Panel (AEP-ANSEP/7) - 7th Meeting</t>
  </si>
  <si>
    <t>2019PAI01ECON</t>
  </si>
  <si>
    <t>2019PAI01ECON001</t>
  </si>
  <si>
    <t>ICAO-EASA</t>
  </si>
  <si>
    <t>ICAO Implementation of the New Global Reporting Format (GRF) for Runway Surface Condition Symposium</t>
  </si>
  <si>
    <t>2019PAI01SAFE006</t>
  </si>
  <si>
    <t>ICAS</t>
  </si>
  <si>
    <t>RASG-PA Pan-America Regional Aviation Safety Group  - 32th Executive Steering Committee (ESC 32) Meeting</t>
  </si>
  <si>
    <t>2019PAI05SAFE002</t>
  </si>
  <si>
    <t>Aeronautical Repair Station Association</t>
  </si>
  <si>
    <t>ICASS</t>
  </si>
  <si>
    <t>EASA 7th SAFA Regulators and Industry Forum &amp; EASA Directors Meetings</t>
  </si>
  <si>
    <t>2019PAI07SAFE</t>
  </si>
  <si>
    <t>2019PAI07SAFE001</t>
  </si>
  <si>
    <t>TSA Human Factors International Working Group</t>
  </si>
  <si>
    <t>2019PAI40SECU</t>
  </si>
  <si>
    <t>2019PAI40SECU001</t>
  </si>
  <si>
    <t>USA</t>
  </si>
  <si>
    <t xml:space="preserve">TSA  </t>
  </si>
  <si>
    <t>IOEPB</t>
  </si>
  <si>
    <t>ICAO Facilitation Regional Group (AVSEC/FAL/RG)</t>
  </si>
  <si>
    <t>2019PAI01SECU003</t>
  </si>
  <si>
    <t>IPTA</t>
  </si>
  <si>
    <t>GACA Global Aviation Summit 2019 - Saudi Arabia</t>
  </si>
  <si>
    <t>2019PAI10ECON</t>
  </si>
  <si>
    <t>2019PAI10ECON001</t>
  </si>
  <si>
    <t>Riade</t>
  </si>
  <si>
    <t>ICAO Committee on Aviation Environmental Protection (CAEP) Working Group (WG1) - 1st Meeting 2019</t>
  </si>
  <si>
    <t>2019PAI01AMBI002</t>
  </si>
  <si>
    <t>Cambridge</t>
  </si>
  <si>
    <t>Latin American and Caribbean Competition Forum</t>
  </si>
  <si>
    <t>ICAO Blockchain Aviation Summit and Exhibition</t>
  </si>
  <si>
    <t>2019PAI01ECON002</t>
  </si>
  <si>
    <t>ICAO Dangerous Goods Panel Working Group (DGP-WG/19)- 19th Meeting</t>
  </si>
  <si>
    <t>2019PAI01SAFE007</t>
  </si>
  <si>
    <t>Latin America Airport Expansion Summit - 1st Meeting</t>
  </si>
  <si>
    <t>2019PAI44ECON003</t>
  </si>
  <si>
    <t>CAAS 7th World Civil Aviation Chief Executives Forum</t>
  </si>
  <si>
    <t>2019PAI11ECON</t>
  </si>
  <si>
    <t>2019PAI11ECON001</t>
  </si>
  <si>
    <t>Singapore</t>
  </si>
  <si>
    <t>ONU</t>
  </si>
  <si>
    <t>ICAO Air Transport Regulation Panel (ATRP15) - 15th Meeting</t>
  </si>
  <si>
    <t>2019PAI01ECON003</t>
  </si>
  <si>
    <t>ProQR</t>
  </si>
  <si>
    <t>ICAO Committee on Aviation Environmental Protection (CAEP) MDG/FESG - 1st Meeting 2019</t>
  </si>
  <si>
    <t>2019PAI01AMBI003</t>
  </si>
  <si>
    <t>RAES</t>
  </si>
  <si>
    <t>SAE A-10 Aircraft Oxygen Equipment Committee</t>
  </si>
  <si>
    <t>2019PAI17PAER004</t>
  </si>
  <si>
    <t>Warrendale</t>
  </si>
  <si>
    <t>ICAO Aeordrome Pavement Experts Group (APEG/3) - 3rd Meeting</t>
  </si>
  <si>
    <t>2019PAI01SAFE008</t>
  </si>
  <si>
    <t>RDN GLOBAL</t>
  </si>
  <si>
    <t>SAE A-5 Aerospace Landing Gear Systems Committee</t>
  </si>
  <si>
    <t>2019PAI17PAER005</t>
  </si>
  <si>
    <t>Philadelphia</t>
  </si>
  <si>
    <t>RST</t>
  </si>
  <si>
    <t>observar SEI 8577031</t>
  </si>
  <si>
    <t>ICAO SAM Octava Reunión de Implantación del Programa Estatal de Seguridad Operacional (SSP)</t>
  </si>
  <si>
    <t>2019PAI02SAFE004</t>
  </si>
  <si>
    <t>ICAO Safety Management Panel (SMP/4) - 4th Meeting</t>
  </si>
  <si>
    <t>2019PAI01SAFE009</t>
  </si>
  <si>
    <t>ASTM F-44 General Aviation Aircraft - 1st Meeting 2019</t>
  </si>
  <si>
    <t>2019PAI18PAER</t>
  </si>
  <si>
    <t>2019PAI18PAER001</t>
  </si>
  <si>
    <t>ANAC (Administración Nacional de Aviación Civil) Argentina - Airworthiness Technical Cooperation Meeting</t>
  </si>
  <si>
    <t>2019PAI42PAER002</t>
  </si>
  <si>
    <t>SAE S-18 (Aircrafty &amp; Systems Development &amp; Safety Assessment Comittee) - 2nd Meeting 2019</t>
  </si>
  <si>
    <t>2019PAI17PAER006</t>
  </si>
  <si>
    <t>ICAO Committee on Aviation Environmental Protection (CAEP) Working Group (WG3) - 1st Meeting 2019</t>
  </si>
  <si>
    <t>EUA Joint Working Group - Article 12 (Rules of the air)</t>
  </si>
  <si>
    <t>2019PAI42DINT</t>
  </si>
  <si>
    <t>2019PAI42DINT001</t>
  </si>
  <si>
    <t>SAE Aircraft SEAT Committee - 2a Reunião 2019</t>
  </si>
  <si>
    <t>2019PAI17PAER007</t>
  </si>
  <si>
    <t>Santa Fé, NM</t>
  </si>
  <si>
    <t>SM-ICG Safety Management International Collaboration Group - 1st Meeting 2019</t>
  </si>
  <si>
    <t>2019PAI13SAFE</t>
  </si>
  <si>
    <t>2019PAI13SAFE001</t>
  </si>
  <si>
    <t>Austrália</t>
  </si>
  <si>
    <t>Brisbane</t>
  </si>
  <si>
    <t>UM</t>
  </si>
  <si>
    <t>IMRBPB International Maintenance Review Board Policy Board</t>
  </si>
  <si>
    <t>2019PAI19SAFE</t>
  </si>
  <si>
    <t>2019PAI19SAFE001</t>
  </si>
  <si>
    <t>Ottawa</t>
  </si>
  <si>
    <t>UPU</t>
  </si>
  <si>
    <t>ICAO Aerodrome Operations Working Group (AOWG/3)</t>
  </si>
  <si>
    <t>2019PAI01SAFE010</t>
  </si>
  <si>
    <t>VAST</t>
  </si>
  <si>
    <t>SAE S-9A (Safety Equipment and Survival Systems Committee) - 1a Reunião 2019</t>
  </si>
  <si>
    <t>2019PAI17PAER008</t>
  </si>
  <si>
    <t xml:space="preserve">SAE A-6 Aerospace Actuation, Control and Fluid Power Systems </t>
  </si>
  <si>
    <t>2019PAI17PAER009</t>
  </si>
  <si>
    <t>Indian Wells</t>
  </si>
  <si>
    <t>WBA</t>
  </si>
  <si>
    <t>EASA Aviation Connectivity Forum (ACF) of the EU-Latin America Cooperation on Civil Aviation (EU-LAC)</t>
  </si>
  <si>
    <t>European Commission International Workshop on air passenger rights</t>
  </si>
  <si>
    <t>2019PAI20ECON</t>
  </si>
  <si>
    <t>2019PAI20ECON001</t>
  </si>
  <si>
    <t>GAD Americas Event Airport Development and Finance Conference</t>
  </si>
  <si>
    <t>2019PAI21ECON</t>
  </si>
  <si>
    <t>2019PAI21ECON001</t>
  </si>
  <si>
    <t>Chicago</t>
  </si>
  <si>
    <t>ICAO Aviation Security Panel (AVSECP/30) - 30th Meeting</t>
  </si>
  <si>
    <t>2019PAI01SECU004</t>
  </si>
  <si>
    <t xml:space="preserve">ICAO Environmental Symposium </t>
  </si>
  <si>
    <t>2019PAI01AMBI004</t>
  </si>
  <si>
    <t xml:space="preserve">Montreal </t>
  </si>
  <si>
    <t>Forum for Aeronautical Software (FAS)</t>
  </si>
  <si>
    <t>2019PAI22PAER</t>
  </si>
  <si>
    <t>2019PAI22PAER001</t>
  </si>
  <si>
    <t>SAE AE-5 Aerospace Fuel, Inerting and Lubrication Systems Committee</t>
  </si>
  <si>
    <t>2019PAI17PAER010</t>
  </si>
  <si>
    <t>Charleston</t>
  </si>
  <si>
    <t>RTCA SC-216 / EUAROCAE WG-72 (Cyber Security) - 1st Meeting 2019</t>
  </si>
  <si>
    <t>SAE AE-2 (Lightning) - 2a Reunião 2019</t>
  </si>
  <si>
    <t>2019PAI17PAER011</t>
  </si>
  <si>
    <t>Cedar Rapids</t>
  </si>
  <si>
    <t>ICAO Airworthiness Panel (AIRP) Working Group (WG1)</t>
  </si>
  <si>
    <t>2019PAI01PAER</t>
  </si>
  <si>
    <t>2019PAI01PAER001</t>
  </si>
  <si>
    <t>ICAO Airworthiness Panel (AIRP) Working Group (WG2)</t>
  </si>
  <si>
    <t>2019PAI01PAER002</t>
  </si>
  <si>
    <t>SRVSOP Reunión del Panel de Expertos en Aeródromos (RPEAGA/13) - 13a Reunión</t>
  </si>
  <si>
    <t>2019PAI04SAFE002</t>
  </si>
  <si>
    <t>Lima / BR</t>
  </si>
  <si>
    <t>Workshop for the upset prevention and recovery training (UPRT)</t>
  </si>
  <si>
    <t>2019PAI04SAFE003</t>
  </si>
  <si>
    <t>EASA powerplant Seminar</t>
  </si>
  <si>
    <t>2019PAI07PAER002</t>
  </si>
  <si>
    <t>FAA International Operational Evaluation Practices Board (IOEPB) Working Group - 8th Meeting</t>
  </si>
  <si>
    <t>2019PAI06SAFE002</t>
  </si>
  <si>
    <t>36th Conference &amp; 30th Symposium of the International Committee on Aeronautical Fatigue and Structural Integrity</t>
  </si>
  <si>
    <t>2019PAI24PAER</t>
  </si>
  <si>
    <t>2019PAI24PAER001</t>
  </si>
  <si>
    <t>Cracóvia</t>
  </si>
  <si>
    <t>Aerospace Structural Impact Dynamics International Conference (ASIDIC)</t>
  </si>
  <si>
    <t>2019PAI25PAER</t>
  </si>
  <si>
    <t>2019PAI25PAER001</t>
  </si>
  <si>
    <t>Composites World</t>
  </si>
  <si>
    <t xml:space="preserve"> FAA International Aircraft Materials Fire Test Forum (IAMFTF) - 2nd Meeting 2019</t>
  </si>
  <si>
    <t>2019PAI06PAER004</t>
  </si>
  <si>
    <t>Europa</t>
  </si>
  <si>
    <t>FAA Flight Test Harmonization Working Group (FTHWG) - 2nd Meeting 2019</t>
  </si>
  <si>
    <t>2019PAI06PAER005</t>
  </si>
  <si>
    <t>FAA Systems, Software, and Airborne Electronic Hardware Conference</t>
  </si>
  <si>
    <t>2019PAI06PAER006</t>
  </si>
  <si>
    <t>FAA/EASA Aviation Safety Conference</t>
  </si>
  <si>
    <t>2019PAI08SAFE</t>
  </si>
  <si>
    <t>2019PAI08SAFE001</t>
  </si>
  <si>
    <t>SAE AC-9C Aircraft Icing Technology Committee</t>
  </si>
  <si>
    <t>2019PAI17PAER012</t>
  </si>
  <si>
    <t>Minneapolis</t>
  </si>
  <si>
    <t>ICAO Remotely Piloted Aircraft Systems Panel (RPASP/14) - 14th Meeting</t>
  </si>
  <si>
    <t>2019PAI01SAFE011</t>
  </si>
  <si>
    <t>Paris Air Show Salon Le Bourget</t>
  </si>
  <si>
    <t>2019PAI44ECON004</t>
  </si>
  <si>
    <t>ICAO 15th Symposium and Exhibition on Traveller Identification Programme (TRIP/15), MRTDs, Biometrics and Border Security</t>
  </si>
  <si>
    <t>2019PAI01SECU005</t>
  </si>
  <si>
    <t>UAE United Arab Emirates Mission to Brazil</t>
  </si>
  <si>
    <t>ICAO Aeordrome Design and Operations Panel (ADOP) Working Group (WG4)</t>
  </si>
  <si>
    <t>2019PAI01SAFE012</t>
  </si>
  <si>
    <t>SAE S-18 (Systems Safety Assessment) - 3a Reunião 2019</t>
  </si>
  <si>
    <t>2019PAI17PAER013</t>
  </si>
  <si>
    <t>Portland</t>
  </si>
  <si>
    <t>CLAC Grupo de Expertos em Asuntos Políticos, Económicos y Jurídicos del Transporte Aéreo (GEPEJTA/43) - 43a Reunión</t>
  </si>
  <si>
    <t>2019PAI03ECON003</t>
  </si>
  <si>
    <t>CLAC Grupo de Gestión (GRUGES/9) - 9a Reunión</t>
  </si>
  <si>
    <t>2019PAI03ECON004</t>
  </si>
  <si>
    <t>FAA Review LSA (Light Sport Aircraft) rules - 2nd Meeting 2019</t>
  </si>
  <si>
    <t>2019PAI06PAER007</t>
  </si>
  <si>
    <t>SRVSOP Reunión de Coordinación com los Puntos Focales (RCPF/17) - 17a Reunión</t>
  </si>
  <si>
    <t>2019PAI04SAFE004</t>
  </si>
  <si>
    <t>17a Reunión de Coordinación com los Puntos Focales (RCPF/17)</t>
  </si>
  <si>
    <t>2019PAI04SAFE005</t>
  </si>
  <si>
    <t xml:space="preserve">FAA Joint Federal Aviation Administration–Air Force Workshop on Qualification/Certification of Additively Manufactured Parts </t>
  </si>
  <si>
    <t>2019PAI06PAER008</t>
  </si>
  <si>
    <t>Dayton</t>
  </si>
  <si>
    <t>ICAO Global Aviation Security Symposium (AVSEC2019)</t>
  </si>
  <si>
    <t>2019PAI01SECU006</t>
  </si>
  <si>
    <t>FAA Flight Test Harmonization Working Group (FTHWG) - 3rd Meeting 2019</t>
  </si>
  <si>
    <t>2019PAI06PAER009</t>
  </si>
  <si>
    <t>Noruega</t>
  </si>
  <si>
    <t>Oslo</t>
  </si>
  <si>
    <t>SC-216/WG-72 (Cyber Security) - 2a Reunião 2019</t>
  </si>
  <si>
    <t>2019PAI23SECU</t>
  </si>
  <si>
    <t>2019PAI23SECU001</t>
  </si>
  <si>
    <t>RTCA / EUROCAE</t>
  </si>
  <si>
    <t>CLAC Comité Ejecutivo - 92a Reunión</t>
  </si>
  <si>
    <t>2019PAI03ECON005</t>
  </si>
  <si>
    <t>SAE AE-2 (Lightning) - 3a Reunião 2019</t>
  </si>
  <si>
    <t>2019PAI17PAER014</t>
  </si>
  <si>
    <t>Wichita, KS</t>
  </si>
  <si>
    <t xml:space="preserve">ICAO 5th World Aviation Forum (IWAF 2019) </t>
  </si>
  <si>
    <t>2019PAI01ECON004</t>
  </si>
  <si>
    <t>FAA Overarching Properties Working Group - 2nd Meeting 2019</t>
  </si>
  <si>
    <t>2019PAI06PAER010</t>
  </si>
  <si>
    <t>ICAO Assembly - 40th Session</t>
  </si>
  <si>
    <t>2019PAI01ASSE</t>
  </si>
  <si>
    <t>2019PAI01ASSE001</t>
  </si>
  <si>
    <t xml:space="preserve">SAE AE-5 Aerospace Fuel, Inerting and Lubrication Systems Committee </t>
  </si>
  <si>
    <t>2019PAI17PAER015</t>
  </si>
  <si>
    <t>Workshop on Additive Manufacturing</t>
  </si>
  <si>
    <t>2019PAI07PAER003</t>
  </si>
  <si>
    <t>SAE S-18 (Systems Safety Assessment) - 4a Reunião 2019</t>
  </si>
  <si>
    <t>2019PAI17PAER016</t>
  </si>
  <si>
    <t>Las Vegas</t>
  </si>
  <si>
    <t>JARUS - 2a Reunião 2019</t>
  </si>
  <si>
    <t>2019PAI43PAER002</t>
  </si>
  <si>
    <t xml:space="preserve">SAE AC-9C Aircraft Icing Technology Committee </t>
  </si>
  <si>
    <t>2019PAI17PAER017</t>
  </si>
  <si>
    <t>Colorado Springs</t>
  </si>
  <si>
    <t>ASTM International Technical Committee F37 on Light Sport Aircraft</t>
  </si>
  <si>
    <t>2019PAI18PAER002</t>
  </si>
  <si>
    <t>Houston</t>
  </si>
  <si>
    <t>FAA International Aircraft Materials Fire Test Forum (IAMFTF) - 3rd Meeting 2019</t>
  </si>
  <si>
    <t>2019PAI06PAER011</t>
  </si>
  <si>
    <t>ICAO Remotely Piloted Aircraft Systems Panel (RPASP/15) - 15th Meeting</t>
  </si>
  <si>
    <t>2019PAI01SAFE013</t>
  </si>
  <si>
    <t>SAE S-9A (Safety Equipment and Survival Systems Committee) - 2a Reunião 2019</t>
  </si>
  <si>
    <t>2019PAI17PAER018</t>
  </si>
  <si>
    <t>SRVSOP Reunión Odinaria de la Junta General (JG/32) - 32a Reunión</t>
  </si>
  <si>
    <t>2019PAI04SAFE006</t>
  </si>
  <si>
    <t>FAA Flight Test Harmonization Working Group (FTHWG) - 4th Meeting 2019</t>
  </si>
  <si>
    <t>2019PAI06PAER012</t>
  </si>
  <si>
    <t>Savannah</t>
  </si>
  <si>
    <t>Projeto Remodelagem dos Serviços de Transporte Aéreo Público - Australia</t>
  </si>
  <si>
    <t>2019PAI42ECON002</t>
  </si>
  <si>
    <t>FAA Public Air Transport Services Remodeling Project</t>
  </si>
  <si>
    <t>2019PAI06ECON</t>
  </si>
  <si>
    <t>2019PAI06ECON001</t>
  </si>
  <si>
    <t>ICAO Committee on Aviation Environmental Protection Steering Group (CAEP SG)</t>
  </si>
  <si>
    <t>2019PAI01AMBI005</t>
  </si>
  <si>
    <t xml:space="preserve">ICAO Committee on Aviation Environmental Protection (CAEP) Working Group (WG2) </t>
  </si>
  <si>
    <t>2019PAI01SAFE014</t>
  </si>
  <si>
    <t>ICAO International Safety Cabin Group (ISCG) - 1st Meeting 2019</t>
  </si>
  <si>
    <t>2019PAI01SAFE015</t>
  </si>
  <si>
    <t>CAACL Reunião Ordinária de Diretores Gerais e Presidentes - 10a Reunião</t>
  </si>
  <si>
    <t>2019PAI12CTEC</t>
  </si>
  <si>
    <t>2019PAI12CTEC001</t>
  </si>
  <si>
    <t>São Tomé e Príncipe</t>
  </si>
  <si>
    <t>São Tomé</t>
  </si>
  <si>
    <t>FAA BASA/MIP/MAG Repair Stations Training (EUA)</t>
  </si>
  <si>
    <t>2019PAI06SAFE003</t>
  </si>
  <si>
    <t>Airshow Safety Team ICAS - EUA</t>
  </si>
  <si>
    <t>2019PAI26SAFE</t>
  </si>
  <si>
    <t>2019PAI26SAFE001</t>
  </si>
  <si>
    <t>RASG-PA Pan-America Regional Aviation Safety Team (PA-RAST 37) - 37th Meeting</t>
  </si>
  <si>
    <t>2019PAI05SAFE003</t>
  </si>
  <si>
    <t>ICAO Air Services Negotiation Event (ICAN 2019)</t>
  </si>
  <si>
    <t>2019PAI01ECON005</t>
  </si>
  <si>
    <t>Benchmarking a autoridade estrangeira (2/2)</t>
  </si>
  <si>
    <t>2019PAI42SAFE002</t>
  </si>
  <si>
    <t>International Pilot Training Association (2/2019)</t>
  </si>
  <si>
    <t>2019PAI27SAFE</t>
  </si>
  <si>
    <t>2019PAI27SAFE001</t>
  </si>
  <si>
    <t>FAA BASA/MIP/MAG ANAC and Repair Stations Trainning (Brazil)</t>
  </si>
  <si>
    <t>2019PAI06SAFE004</t>
  </si>
  <si>
    <t>SRVSOP Reunión del Panel de Expertos en Licencias y Medicina Aeronáutica (RPEL/14) - 14a Reunión</t>
  </si>
  <si>
    <t>2019PAI04SAFE007</t>
  </si>
  <si>
    <t>RAeS simulation conference</t>
  </si>
  <si>
    <t>2019PAI28SAFE</t>
  </si>
  <si>
    <t>2019PAI28SAFE001</t>
  </si>
  <si>
    <t>UN Sub-Committee of Experts on the Transport of Dangerous Goods (UN TDG) - 1st Meeting 2019</t>
  </si>
  <si>
    <t>2019PAI29SAFE</t>
  </si>
  <si>
    <t>2019PAI29SAFE001</t>
  </si>
  <si>
    <t>Genebra</t>
  </si>
  <si>
    <t>RASG-PA Pan-America Regional Safety Group - 10th Plenary Session</t>
  </si>
  <si>
    <t>2019PAI05SAFE004</t>
  </si>
  <si>
    <t xml:space="preserve">SRVSOP Revisión y actualización del MIA, Parte III correspondiente a certificación de aeronave y componentes de aeronaves (AIR 1.3) </t>
  </si>
  <si>
    <t>2019PAI04PAER</t>
  </si>
  <si>
    <t>2019PAI04PAER001</t>
  </si>
  <si>
    <t>SRVSOP Revisión y actualización de la CA-AIR-21-001 (AIR 1.2)</t>
  </si>
  <si>
    <t>2019PAI04PAER002</t>
  </si>
  <si>
    <t>FAA Maintenance Agreement Guidance (MAG) Development under Bilateral Aviation Safety Agreement (BASA) - 2nd Meeting 2019</t>
  </si>
  <si>
    <t>2019PAI06SAFE005</t>
  </si>
  <si>
    <t>Benchmarking a autoridade estrangeira (1/2)</t>
  </si>
  <si>
    <t>2019PAI42SAFE003</t>
  </si>
  <si>
    <t>ICAO Global Aviation Safety Plan (GASP-SG) - 1st Meeting 2019</t>
  </si>
  <si>
    <t>2019PAI01SAFE016</t>
  </si>
  <si>
    <t>Missão de apoio SRVSOP - 1</t>
  </si>
  <si>
    <t>2019PAI04SAFE008</t>
  </si>
  <si>
    <t>Global Airport Development Conference -  GAD World</t>
  </si>
  <si>
    <t>2019PAI21ECON002</t>
  </si>
  <si>
    <t>SM-ICG Safety Management International Collaboration Group - 2nd Meeting 2019</t>
  </si>
  <si>
    <t>2019PAI13SAFE002</t>
  </si>
  <si>
    <t>FRMS - Forum</t>
  </si>
  <si>
    <t>2019PAI30SAFE</t>
  </si>
  <si>
    <t>2019PAI30SAFE001</t>
  </si>
  <si>
    <t>ICAO Global Aviation Safety Plan (GASP-SG) - 2nd Meeting 2019</t>
  </si>
  <si>
    <t>2019PAI01SAFE017</t>
  </si>
  <si>
    <t>UN Sub-Committee of Experts on the Transport of Dangerous Goods - UN TDG (2/2)</t>
  </si>
  <si>
    <t>2019PAI31SAFE</t>
  </si>
  <si>
    <t>2019PAI31SAFE001</t>
  </si>
  <si>
    <t>OECD Regulatory Policy Committee Meeting</t>
  </si>
  <si>
    <t>2019PAI32ECON</t>
  </si>
  <si>
    <t>2019PAI32ECON001</t>
  </si>
  <si>
    <t>RASG-PA Pan-America Regional Aviation Safety Group  - 33th Executive Steering Committee (ESC 33) Meeting</t>
  </si>
  <si>
    <t>2019PAI05SAFE005</t>
  </si>
  <si>
    <t>RASG-PA Pan-America Regional Aviation Safety Team (PA-RAST 38) - 38th Meeting</t>
  </si>
  <si>
    <t>2019PAI05SAFE006</t>
  </si>
  <si>
    <t>ICAO Flight Operations Panel (FLTOPSP) - 6th Meeting</t>
  </si>
  <si>
    <t>2019PAI01SAFE018</t>
  </si>
  <si>
    <t>ICAO Safety Management Panel (SMP) Working Group (WG1)</t>
  </si>
  <si>
    <t>2019PAI01SAFE019</t>
  </si>
  <si>
    <t>ICAO Safety Management Panel (SMP) Working Group (WG2)</t>
  </si>
  <si>
    <t>2019PAI01SAFE020</t>
  </si>
  <si>
    <t>International Pilot Training Association (1/2019)</t>
  </si>
  <si>
    <t>2019PAI27SAFE002</t>
  </si>
  <si>
    <t>Seminário ICAEA</t>
  </si>
  <si>
    <t>2019PAI33SAFE</t>
  </si>
  <si>
    <t>2019PAI33SAFE001</t>
  </si>
  <si>
    <t>Luxemburgo</t>
  </si>
  <si>
    <t>ICAO International Safety Cabin Group (ISCG) - 2nd Meeting 2019</t>
  </si>
  <si>
    <t>2019PAI01SAFE021</t>
  </si>
  <si>
    <t>CMT CATA (Certification Authorities for Tranport Airplanes)</t>
  </si>
  <si>
    <t>2019PAI34PAER</t>
  </si>
  <si>
    <t>2019PAI34PAER001</t>
  </si>
  <si>
    <t>ICAO Dangerous Goods Panel (DGP) - 27th Meeting</t>
  </si>
  <si>
    <t>2019PAI01SAFE022</t>
  </si>
  <si>
    <t>Reunión del Panel de Expertos em Operaciones (RPEO/14) - 14a Reunión</t>
  </si>
  <si>
    <t>2019PAI04SAFE009</t>
  </si>
  <si>
    <t xml:space="preserve">Technical Cooperation </t>
  </si>
  <si>
    <t>2019PAI14ECON</t>
  </si>
  <si>
    <t>2019PAI14ECON001</t>
  </si>
  <si>
    <t>Frankfurt / Munique</t>
  </si>
  <si>
    <t xml:space="preserve">IATA Technical Cooperation </t>
  </si>
  <si>
    <t>2019PAI14ECON002</t>
  </si>
  <si>
    <t>Flight Safety Foundation</t>
  </si>
  <si>
    <t>2019PAI35SAFE</t>
  </si>
  <si>
    <t>2019PAI35SAFE001</t>
  </si>
  <si>
    <t>Missão de apoio SRVSOP - 2</t>
  </si>
  <si>
    <t>2019PAI04SAFE010</t>
  </si>
  <si>
    <t>Reunião Comitê Executivo IOSA</t>
  </si>
  <si>
    <t>2019PAI14SAFE</t>
  </si>
  <si>
    <t>2019PAI14SAFE001</t>
  </si>
  <si>
    <t>ICAO Committee on Aviation Environmental Protection (CAEP) MDG/FESG - 2nd Meeting 2019</t>
  </si>
  <si>
    <t>2019PAI01AMBI006</t>
  </si>
  <si>
    <t>CMT CABA (Certification Authorities for Bilateral Agreements)</t>
  </si>
  <si>
    <t>2019PAI34PAER002</t>
  </si>
  <si>
    <t>France Air Services Agreement Meeting</t>
  </si>
  <si>
    <t>2019PAI42ECON003</t>
  </si>
  <si>
    <t>FAA Review LSA (Light Sport Aircraft) rules - 1st Meeting 2019</t>
  </si>
  <si>
    <t>2019PAI06PAER013</t>
  </si>
  <si>
    <t>ICAO Secretariat Study Group on Cybersecurity (SSGC) Working Group</t>
  </si>
  <si>
    <t>2019PAI01SECU007</t>
  </si>
  <si>
    <t>CMT Reunião Gerencial</t>
  </si>
  <si>
    <t>2019PAI34PAER003</t>
  </si>
  <si>
    <t>CMT Management Meeting</t>
  </si>
  <si>
    <t>2019PAI34PAER004</t>
  </si>
  <si>
    <t>MMT Maintenance Management Team Meeting</t>
  </si>
  <si>
    <t>2019PAI43SAFE</t>
  </si>
  <si>
    <t>2019PAI43SAFE001</t>
  </si>
  <si>
    <t>ICAO Assistance to Aircraft Accident Victims and Their Families Forum</t>
  </si>
  <si>
    <t>2019PAI01DINT</t>
  </si>
  <si>
    <t>2019PAI01DINT001</t>
  </si>
  <si>
    <t>ICAO Global Aviation Security Plan (GASeP) Task Force Meeting</t>
  </si>
  <si>
    <t>2019PAI01SECU008</t>
  </si>
  <si>
    <t>TCCA Technical Arrangement Review (TA-M) Meeting</t>
  </si>
  <si>
    <t>2019PAI09SAFE</t>
  </si>
  <si>
    <t>2019PAI09SAFE001</t>
  </si>
  <si>
    <t>Ottawa / Montreal</t>
  </si>
  <si>
    <t>ICAO Airworthiness Panel (AIRP) - 7th Meeting</t>
  </si>
  <si>
    <t>2019PAI01PAER003</t>
  </si>
  <si>
    <t>SRVSOP Reunión del Panel de Expertos em Aeródromos (RPEAGA/14) - 14a Reunión</t>
  </si>
  <si>
    <t>2019PAI04SAFE011</t>
  </si>
  <si>
    <t>NCMC</t>
  </si>
  <si>
    <t>2019PAI02SAFE005</t>
  </si>
  <si>
    <t xml:space="preserve">Grupo de Trabalho sobre Projeto de Aeroporto (ADWG) </t>
  </si>
  <si>
    <t>2019PAI01SAFE023</t>
  </si>
  <si>
    <t>ICAO Wildlife Hazard Management Expert Group</t>
  </si>
  <si>
    <t>2019PAI01SAFE024</t>
  </si>
  <si>
    <t>Acordo de Fortaleza Meeting - 1st Meeting 2019</t>
  </si>
  <si>
    <t>2019PAI42ECON004</t>
  </si>
  <si>
    <t>Acordo de Fortaleza Meeting - 2nd Meeting 2019</t>
  </si>
  <si>
    <t>2019PAI42ECON005</t>
  </si>
  <si>
    <t>China Air Services Consultation Meeting</t>
  </si>
  <si>
    <t>2019PAI42ECON006</t>
  </si>
  <si>
    <t>Pequim</t>
  </si>
  <si>
    <t>European countriens Air Services Consultation Meeting - 1st Meeting 2019</t>
  </si>
  <si>
    <t>2019PAI42ECON007</t>
  </si>
  <si>
    <t>European countriens Air Services Consultation Meeting - 2nd Meeting 2019</t>
  </si>
  <si>
    <t>2019PAI42ECON008</t>
  </si>
  <si>
    <t>CMT CAGP (Certification Authorities for General Aviation Products) - 1a Reunião do Subgrupo de Trabalho</t>
  </si>
  <si>
    <t>2019PAI34PAER005</t>
  </si>
  <si>
    <t>China Airworthiness Agreement Meeting</t>
  </si>
  <si>
    <t>2019PAI42PAER003</t>
  </si>
  <si>
    <t>Russia Airworthiness Agreement Meeting</t>
  </si>
  <si>
    <t>2019PAI42PAER004</t>
  </si>
  <si>
    <t>Rússia</t>
  </si>
  <si>
    <t>Moscou</t>
  </si>
  <si>
    <t>ICAO Committee on Aviation Environmental Protection (CAEP) Working Group (WG1) - 3rd Meeting 2019</t>
  </si>
  <si>
    <t>2019PAI01AMBI007</t>
  </si>
  <si>
    <t>ICAO WG Secretariat Study Group on Cybersecurity (SSGC)</t>
  </si>
  <si>
    <t>2019PAI01SECU009</t>
  </si>
  <si>
    <t>ICAO Facilitation Panel (FALP/11) - 11th Meeting</t>
  </si>
  <si>
    <t>2019PAI01FACI</t>
  </si>
  <si>
    <t>2019PAI01FACI001</t>
  </si>
  <si>
    <t>CMT CAGP (Certification Authorities for General Aviation Products) - 2a Reunião do Subgrupo de Trabalho</t>
  </si>
  <si>
    <t>2019PAI34PAER006</t>
  </si>
  <si>
    <t>Kansas City</t>
  </si>
  <si>
    <t>SAE G-27 Lithium Battery Packaging Performance</t>
  </si>
  <si>
    <t>2019PAI17SAFE</t>
  </si>
  <si>
    <t>2019PAI17SAFE001</t>
  </si>
  <si>
    <t>Acordo bilateral com Colômbia</t>
  </si>
  <si>
    <t>2019PAI42PAER005</t>
  </si>
  <si>
    <t>ASTM F-44 General Aviation Aircraft - 2nd Meeting 2019</t>
  </si>
  <si>
    <t>2019PAI18PAER003</t>
  </si>
  <si>
    <t xml:space="preserve">ALTA-IATA 10th Pan American Aviation Safety Summit </t>
  </si>
  <si>
    <t>2019PAI15SAFE</t>
  </si>
  <si>
    <t>2019PAI15SAFE001</t>
  </si>
  <si>
    <t>ALTA-IATA</t>
  </si>
  <si>
    <t>6th Meeting of Director of Air Navigation and Safety of SAM Region</t>
  </si>
  <si>
    <t>2019PAI02SAFE006</t>
  </si>
  <si>
    <t>ICAO Committee on Aviation Environmental Protection (CAEP) GMTF - 1st Meeting 2019</t>
  </si>
  <si>
    <t>2019PAI01AMBI008</t>
  </si>
  <si>
    <t>ICAO Global TRAINAIR Symposium</t>
  </si>
  <si>
    <t>2019PAI01CAPA002</t>
  </si>
  <si>
    <t>ALTA-IATA Airlines Leaders Forum</t>
  </si>
  <si>
    <t>2019PAI15ECON</t>
  </si>
  <si>
    <t>2019PAI15ECON001</t>
  </si>
  <si>
    <t>IMRBPB International Maintenance Review Board Policy Board Working Group</t>
  </si>
  <si>
    <t>2019PAI19SAFE002</t>
  </si>
  <si>
    <t xml:space="preserve">9th Meeting of the Commission of Experts of the Supervisory Authority of the International Registry - CESAIR </t>
  </si>
  <si>
    <t>2019PAI01DINT002</t>
  </si>
  <si>
    <t>ICAO Aerodrome Reference Code Task Force (ARCTF) - 8th Meeting</t>
  </si>
  <si>
    <t>2019PAI01SAFE025</t>
  </si>
  <si>
    <t>ICAO Next Generation of Aviation Professionals (NGAP) Global Summit</t>
  </si>
  <si>
    <t>2019PAI01CAPA003</t>
  </si>
  <si>
    <t>Airport Security Summit</t>
  </si>
  <si>
    <t>2019PAI16SECU</t>
  </si>
  <si>
    <t>2019PAI16SECU001</t>
  </si>
  <si>
    <t>ARAC - Aviation Rulemaking Advisory Committe</t>
  </si>
  <si>
    <t>2019PAI06SAFE006</t>
  </si>
  <si>
    <t>Assinatura do MAG (ANAC/FAA)</t>
  </si>
  <si>
    <t>2019PAI06SAFE007</t>
  </si>
  <si>
    <t xml:space="preserve">Aviation Cyber Security Summit </t>
  </si>
  <si>
    <t>2019PAI16SECU002</t>
  </si>
  <si>
    <t>ICAO TRAINAIR Regional Meeting</t>
  </si>
  <si>
    <t>2019PAI01CAPA004</t>
  </si>
  <si>
    <t>ICAO Committee on Aviation Environmental Protection (CAEP) GMTF - 2nd Meeting 2019</t>
  </si>
  <si>
    <t>2019PAI01AMBI009</t>
  </si>
  <si>
    <t>ICAO Committee on Aviation Environmental Protection (CAEP) Working Group (WG1) - 2nd Meeting 2019</t>
  </si>
  <si>
    <t>2019PAI01AMBI010</t>
  </si>
  <si>
    <t>ICAO Committee on Aviation Environmental Protection (CAEP) Working Group (WG3) - 2nd Meeting 2019</t>
  </si>
  <si>
    <t>2019PAI01AMBI011</t>
  </si>
  <si>
    <t>Munique</t>
  </si>
  <si>
    <t>CMT CATA CWI sobre MRB Escalation</t>
  </si>
  <si>
    <t>2019PAI34PAER007</t>
  </si>
  <si>
    <t>CMH-17 (materiais compostos)</t>
  </si>
  <si>
    <t>2019PAI06PAER014</t>
  </si>
  <si>
    <t>CMT CAPP - 1a Reunião 2019</t>
  </si>
  <si>
    <t>2019PAI34PAER008</t>
  </si>
  <si>
    <t>CMT CAPP - 2a Reunião 2019</t>
  </si>
  <si>
    <t>2019PAI34PAER009</t>
  </si>
  <si>
    <t>FAA 7th Annual Airworthiness Safety Seminar</t>
  </si>
  <si>
    <t>2019PAI06SAFE008</t>
  </si>
  <si>
    <t>Ciudad del este</t>
  </si>
  <si>
    <t>ICAO SAM Regional Brid/Wildlife Hazard Prevention Commitee Meeting and Conference (CARSAMPAF) - 17th Meeting</t>
  </si>
  <si>
    <t>2019PAI02SAFE007</t>
  </si>
  <si>
    <t>ICAO SAM Regional Cooperation</t>
  </si>
  <si>
    <t>2019PAI02CTEC</t>
  </si>
  <si>
    <t>2019PAI02CTEC001</t>
  </si>
  <si>
    <t>Colômbia / SAM</t>
  </si>
  <si>
    <t>CSRTG (Cabin Safety Research Technical Group)</t>
  </si>
  <si>
    <t>2019PAI06PAER015</t>
  </si>
  <si>
    <t>Discussão sobre o Acordo Multilateral de Manutenção - SRVSOP</t>
  </si>
  <si>
    <t>2019PAI04SAFE012</t>
  </si>
  <si>
    <t>ICAO Ground Handling Task Force (GHTF)</t>
  </si>
  <si>
    <t>2019PAI01SAFE026</t>
  </si>
  <si>
    <t>ICAO Grupo de Estudo do Secretariado sobre Evolução do USAP (USAP-CMA)</t>
  </si>
  <si>
    <t>2019PAI01SECU010</t>
  </si>
  <si>
    <t>Grupo de Trabalho sobre Auxílios Visuais (VAWG)</t>
  </si>
  <si>
    <t>2019PAI01SAFE027</t>
  </si>
  <si>
    <t>Grupo de Trabalho sobre Material de Orientação (Working Group on Guidance Material) - WGGM</t>
  </si>
  <si>
    <t>2019PAI01SECU011</t>
  </si>
  <si>
    <t>SRVSOP Reunión del Panel de Expertos en Aeronavegabilidad (RPEA/16) - 16a Reunión</t>
  </si>
  <si>
    <t>2019PAI04SAFE013</t>
  </si>
  <si>
    <t>Grupo de Trabalho sobre Resgate e Combate a Incêndio (RFFWG)</t>
  </si>
  <si>
    <t>2019PAI01SAFE028</t>
  </si>
  <si>
    <t>ICAO Course Developers and Instructors Standardization (CDI/STD) Meeting</t>
  </si>
  <si>
    <t>2019PAI01CAPA005</t>
  </si>
  <si>
    <t>International Conference on Human Systems Engineering and Design</t>
  </si>
  <si>
    <t>2019PAI44PAER</t>
  </si>
  <si>
    <t>2019PAI44PAER001</t>
  </si>
  <si>
    <t>International Forum for Security Screening</t>
  </si>
  <si>
    <t>2019PAI37SECU</t>
  </si>
  <si>
    <t>2019PAI37SECU001</t>
  </si>
  <si>
    <t>TSA/CATSA</t>
  </si>
  <si>
    <t>Latin America Airport Expansion Summit - 2nd Meeting</t>
  </si>
  <si>
    <t>2019PAI44ECON005</t>
  </si>
  <si>
    <t>NCMC - Grupo de Trabalho</t>
  </si>
  <si>
    <t>2019PAI02SAFE008</t>
  </si>
  <si>
    <t>Bilateral Air Services Agreement Meeting (Country to be defined)</t>
  </si>
  <si>
    <t>2019PAI42ECON009</t>
  </si>
  <si>
    <t>PSOE - Projeto 1 - Implementação do Gerenciamento de Riscos - Benchmarking</t>
  </si>
  <si>
    <t>2019PAI42SAFE004</t>
  </si>
  <si>
    <t>Qualidade Normativa na ANAC - GTQN (OCDE) (2/2)</t>
  </si>
  <si>
    <t>2019PAI32ECON002</t>
  </si>
  <si>
    <t>Latin America Technical Cooperation Meeting (2nd Meeting)</t>
  </si>
  <si>
    <t>2019PAI42CTEC</t>
  </si>
  <si>
    <t>2019PAI42CTEC001</t>
  </si>
  <si>
    <t>Portuguese-speaking countries Technical Cooperation Meeting - 2nd Meeting 2019</t>
  </si>
  <si>
    <t>2019PAI42CTEC002</t>
  </si>
  <si>
    <t>CMT COSET (Continued Operational Safety Evaluation Team)</t>
  </si>
  <si>
    <t>2019PAI34PAER010</t>
  </si>
  <si>
    <t>European countriens Air Services Consultation Meeting - 3rd Meeting 2019</t>
  </si>
  <si>
    <t>2019PAI42ECON010</t>
  </si>
  <si>
    <t>Reunião de Regulação e Implementação ADS-B na Região CAR/SAM/NAM</t>
  </si>
  <si>
    <t>2019PAI02SAFE009</t>
  </si>
  <si>
    <t>Reunião de Regulação e Implementação ADS-B na Região CAR/SAM/NAM (2/2)</t>
  </si>
  <si>
    <t>2019PAI02SAFE010</t>
  </si>
  <si>
    <t>Latin America Technical Cooperation Meeting (1st Meeting)</t>
  </si>
  <si>
    <t>2019PAI42CTEC003</t>
  </si>
  <si>
    <t>Portuguese-speaking countries Technical Cooperation Meeting - 1st Meeting 2019</t>
  </si>
  <si>
    <t>2019PAI42CTEC004</t>
  </si>
  <si>
    <t>Global Manufacturing Meeting</t>
  </si>
  <si>
    <t>2019PAI43PAER003</t>
  </si>
  <si>
    <t>SAE Electric and Hybrid Propulsion - 1st Meeting</t>
  </si>
  <si>
    <t>2019PAI17PAER019</t>
  </si>
  <si>
    <t xml:space="preserve">Colombia Technical Cooperation </t>
  </si>
  <si>
    <t>2019PAI42CTEC005</t>
  </si>
  <si>
    <t>Bogotá</t>
  </si>
  <si>
    <t>CMT CARP (Certification Authorities for Rotorcraft Products) - 1a Reunião do Subgrupo de Trabalho</t>
  </si>
  <si>
    <t>2019PAI34PAER011</t>
  </si>
  <si>
    <t>CMT CARP (Certification Authorities for Rotorcraft Products) - 2a Reunião do Subgrupo de Trabalho</t>
  </si>
  <si>
    <t>2019PAI34PAER012</t>
  </si>
  <si>
    <t>ICAO Committee on Aviation Environmental Protection (CAEP) GMTF CCG Subgroup - 1st Meeting 2019</t>
  </si>
  <si>
    <t>2019PAI01AMBI012</t>
  </si>
  <si>
    <t>ICAO Committee on Aviation Environmental Protection (CAEP) GMTF CCG Subgroup - 2nd Meeting 2019</t>
  </si>
  <si>
    <t>2019PAI01AMBI013</t>
  </si>
  <si>
    <t>Reunião TCCA - acordo certificação TIP/IPA</t>
  </si>
  <si>
    <t>2019PAI09PAER</t>
  </si>
  <si>
    <t>2019PAI09PAER001</t>
  </si>
  <si>
    <t>Revisão TIP (ANAC/EASA)</t>
  </si>
  <si>
    <t>2019PAI42PAER006</t>
  </si>
  <si>
    <t xml:space="preserve">Colônia </t>
  </si>
  <si>
    <t>SAE A-10 Aircraft Oxygen Equipment Committee (Setembro 2019)</t>
  </si>
  <si>
    <t>2019PAI17PAER020</t>
  </si>
  <si>
    <t>SAE A-22 Fire Protection and Flammability Testing Committee / FAA IASFPWG (INTERNATIONAL AIRCRAFT SYSTEMS FIRE PROTECTION WG) - Maio 2019</t>
  </si>
  <si>
    <t>2019PAI17PAER021</t>
  </si>
  <si>
    <t>SAE A-22 Fire Protection and Flammability Testing Committee / FAA IASFPWG (INTERNATIONAL AIRCRAFT SYSTEMS FIRE PROTECTION WG) - Novembro 2019</t>
  </si>
  <si>
    <t>2019PAI17PAER022</t>
  </si>
  <si>
    <t>SAE Aerospace Industry Steering Committee on Structural Health Management (AISC-SHM)</t>
  </si>
  <si>
    <t>2019PAI17PAER023</t>
  </si>
  <si>
    <t>SAE IVHM (Integrated Vehicle Health Management)</t>
  </si>
  <si>
    <t>2019PAI17PAER024</t>
  </si>
  <si>
    <t>SAE S-7 Symposium (Flight Deck Standards)</t>
  </si>
  <si>
    <t>2019PAI17PAER025</t>
  </si>
  <si>
    <t>SAE Electric and Hybrid Propulsion - 2nd Meeting</t>
  </si>
  <si>
    <t>2019PAI17PAER026</t>
  </si>
  <si>
    <t>SAM/IG (reunião 1/2019)</t>
  </si>
  <si>
    <t>2019PAI02SAFE011</t>
  </si>
  <si>
    <t>SAM/IG (reunião 2/2019)</t>
  </si>
  <si>
    <t>2019PAI02SAFE012</t>
  </si>
  <si>
    <t>SMICG (Safety Management International Collaboration Group) (2/2)</t>
  </si>
  <si>
    <t>2019PAI13SAFE003</t>
  </si>
  <si>
    <t>Triennial International Fire &amp; Cabin Safety Research Conference</t>
  </si>
  <si>
    <t>2019PAI06PAER016</t>
  </si>
  <si>
    <t>Visita para intercâmbio Técnico ANAC-FAA sobre Estruturas Aeronáuticas e Segurança de Cabine</t>
  </si>
  <si>
    <t>2019PAI06PAER017</t>
  </si>
  <si>
    <t>Visita técnica à autoridade de aviação civil do Reino Unido.</t>
  </si>
  <si>
    <t>2019PAI42SAFE005</t>
  </si>
  <si>
    <t>Visita Técnica ao SEIT/FAA</t>
  </si>
  <si>
    <t>2019PAI06SAFE009</t>
  </si>
  <si>
    <t>Dallas</t>
  </si>
  <si>
    <t>ICAO SAM Taller de Vigilancia Basada en Riesgos (RBS)</t>
  </si>
  <si>
    <t>2019PAI02SAFE013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</si>
</sst>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_-&quot;R$&quot;\ * #,##0.00_-;\-&quot;R$&quot;\ * #,##0.00_-;_-&quot;R$&quot;\ * &quot;-&quot;??_-;_-@_-"/>
    <numFmt numFmtId="165" formatCode="_-* #,##0.00_-;\-* #,##0.00_-;_-* &quot;-&quot;??_-;_-@_-"/>
    <numFmt numFmtId="166" formatCode="_-[$USD]\ * #,##0.00_-;\-[$USD]\ * #,##0.00_-;_-[$USD]\ * &quot;-&quot;??_-;_-@_-"/>
    <numFmt numFmtId="167" formatCode="#,##0.00_ ;[Red]\-#,##0.00\ "/>
    <numFmt numFmtId="168" formatCode="&quot;R$&quot;\ #,##0.00"/>
    <numFmt numFmtId="169" formatCode="#,##0_ ;[Red]\-#,##0\ "/>
    <numFmt numFmtId="170" formatCode="0.0"/>
    <numFmt numFmtId="171" formatCode="_-* #,##0_-;\-* #,##0_-;_-* &quot;-&quot;??_-;_-@_-"/>
    <numFmt numFmtId="172" formatCode="0.0%"/>
    <numFmt numFmtId="173" formatCode="_-&quot;R$&quot;\ * #,##0_-;\-&quot;R$&quot;\ * #,##0_-;_-&quot;R$&quot;\ * &quot;-&quot;??_-;_-@_-"/>
    <numFmt numFmtId="174" formatCode="_-[$USD]\ * #,##0_-;\-[$USD]\ * #,##0_-;_-[$USD]\ * &quot;-&quot;??_-;_-@_-"/>
    <numFmt numFmtId="175" formatCode="_-[$R$-416]\ * #,##0_-;\-[$R$-416]\ * #,##0_-;_-[$R$-416]\ * &quot;-&quot;??_-;_-@_-"/>
  </numFmts>
  <fonts count="41">
    <font>
      <sz val="11"/>
      <color theme="1"/>
      <name val="Calibri"/>
      <family val="2"/>
      <scheme val="minor"/>
    </font>
    <font>
      <sz val="10"/>
      <color theme="1"/>
      <name val="Verdana"/>
      <family val="2"/>
    </font>
    <font>
      <sz val="8"/>
      <name val="Verdana"/>
      <family val="2"/>
    </font>
    <font>
      <sz val="8"/>
      <color theme="1"/>
      <name val="Verdana"/>
      <family val="2"/>
    </font>
    <font>
      <b/>
      <sz val="8"/>
      <color theme="1"/>
      <name val="Verdana"/>
      <family val="2"/>
    </font>
    <font>
      <b/>
      <sz val="10"/>
      <color theme="1"/>
      <name val="Verdana"/>
      <family val="2"/>
    </font>
    <font>
      <b/>
      <sz val="11"/>
      <color theme="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9"/>
      <color theme="1"/>
      <name val="Calibri"/>
      <family val="2"/>
      <scheme val="minor"/>
    </font>
    <font>
      <b/>
      <sz val="10"/>
      <color theme="1"/>
      <name val="Calibri"/>
      <family val="2"/>
      <scheme val="minor"/>
    </font>
    <font>
      <sz val="10"/>
      <color theme="1"/>
      <name val="Calibri"/>
      <family val="2"/>
      <scheme val="minor"/>
    </font>
    <font>
      <sz val="11"/>
      <name val="Calibri"/>
      <family val="2"/>
      <scheme val="minor"/>
    </font>
    <font>
      <sz val="10"/>
      <color theme="1"/>
      <name val="Arial"/>
      <family val="2"/>
    </font>
    <font>
      <sz val="10"/>
      <color rgb="FF000000"/>
      <name val="Arial"/>
      <family val="2"/>
    </font>
    <font>
      <i/>
      <sz val="11"/>
      <color theme="1"/>
      <name val="Calibri"/>
      <family val="2"/>
      <scheme val="minor"/>
    </font>
    <font>
      <b/>
      <i/>
      <sz val="11"/>
      <color theme="1"/>
      <name val="Calibri"/>
      <family val="2"/>
      <scheme val="minor"/>
    </font>
    <font>
      <sz val="12"/>
      <color theme="1"/>
      <name val="Calibri  "/>
    </font>
    <font>
      <sz val="8"/>
      <name val="Calibri"/>
      <family val="2"/>
      <scheme val="minor"/>
    </font>
    <font>
      <sz val="12"/>
      <color theme="1"/>
      <name val="Times New Roman"/>
      <family val="1"/>
    </font>
    <font>
      <sz val="12"/>
      <name val="Times New Roman"/>
      <family val="1"/>
    </font>
    <font>
      <b/>
      <sz val="12"/>
      <color theme="1"/>
      <name val="Times New Roman"/>
      <family val="1"/>
    </font>
    <font>
      <sz val="11"/>
      <color theme="1"/>
      <name val="Calibri"/>
      <family val="2"/>
      <scheme val="minor"/>
    </font>
    <font>
      <b/>
      <sz val="11"/>
      <color theme="1"/>
      <name val="Verdana"/>
      <family val="2"/>
    </font>
    <font>
      <b/>
      <sz val="11"/>
      <color theme="0"/>
      <name val="Verdana"/>
      <family val="2"/>
    </font>
    <font>
      <sz val="14"/>
      <color theme="1"/>
      <name val="Calibri"/>
      <family val="2"/>
      <scheme val="minor"/>
    </font>
    <font>
      <sz val="11"/>
      <color theme="1"/>
      <name val="Verdana"/>
      <family val="2"/>
    </font>
    <font>
      <b/>
      <sz val="8"/>
      <color theme="0"/>
      <name val="Verdana"/>
      <family val="2"/>
    </font>
    <font>
      <b/>
      <sz val="10"/>
      <color theme="0"/>
      <name val="Verdana"/>
      <family val="2"/>
    </font>
    <font>
      <sz val="11"/>
      <color rgb="FFFF0000"/>
      <name val="Calibri"/>
      <family val="2"/>
      <scheme val="minor"/>
    </font>
    <font>
      <sz val="11"/>
      <color theme="1"/>
      <name val="Courier New"/>
      <family val="3"/>
    </font>
    <font>
      <sz val="10"/>
      <color theme="1"/>
      <name val="Courier New"/>
      <family val="3"/>
    </font>
    <font>
      <sz val="12"/>
      <color rgb="FFFF0000"/>
      <name val="Times"/>
      <charset val="1"/>
    </font>
    <font>
      <sz val="8"/>
      <color theme="1"/>
      <name val="Verdana"/>
    </font>
    <font>
      <sz val="8"/>
      <name val="Verdana"/>
    </font>
    <font>
      <b/>
      <sz val="8"/>
      <color theme="1"/>
      <name val="Verdana"/>
    </font>
    <font>
      <sz val="8"/>
      <color rgb="FF000000"/>
      <name val="Verdana"/>
    </font>
    <font>
      <b/>
      <sz val="12"/>
      <color rgb="FF000000"/>
      <name val="Times New Roman"/>
    </font>
    <font>
      <sz val="12"/>
      <color rgb="FF000000"/>
      <name val="Times New Roman"/>
    </font>
    <font>
      <sz val="8"/>
      <color rgb="FF000000"/>
      <name val="Verdana"/>
      <family val="2"/>
    </font>
  </fonts>
  <fills count="29">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9"/>
        <bgColor indexed="64"/>
      </patternFill>
    </fill>
    <fill>
      <patternFill patternType="solid">
        <fgColor theme="5" tint="0.59999389629810485"/>
        <bgColor indexed="64"/>
      </patternFill>
    </fill>
    <fill>
      <patternFill patternType="solid">
        <fgColor theme="5"/>
        <bgColor indexed="64"/>
      </patternFill>
    </fill>
    <fill>
      <patternFill patternType="solid">
        <fgColor theme="8"/>
        <bgColor indexed="64"/>
      </patternFill>
    </fill>
    <fill>
      <patternFill patternType="solid">
        <fgColor rgb="FFFFFF00"/>
        <bgColor indexed="64"/>
      </patternFill>
    </fill>
    <fill>
      <patternFill patternType="solid">
        <fgColor theme="7"/>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4"/>
        <bgColor indexed="64"/>
      </patternFill>
    </fill>
    <fill>
      <patternFill patternType="solid">
        <fgColor theme="2" tint="-0.249977111117893"/>
        <bgColor indexed="64"/>
      </patternFill>
    </fill>
    <fill>
      <patternFill patternType="solid">
        <fgColor theme="1"/>
        <bgColor indexed="64"/>
      </patternFill>
    </fill>
    <fill>
      <patternFill patternType="solid">
        <fgColor theme="9" tint="-0.499984740745262"/>
        <bgColor indexed="64"/>
      </patternFill>
    </fill>
    <fill>
      <patternFill patternType="solid">
        <fgColor theme="1" tint="0.499984740745262"/>
        <bgColor indexed="64"/>
      </patternFill>
    </fill>
    <fill>
      <patternFill patternType="solid">
        <fgColor theme="4" tint="-0.249977111117893"/>
        <bgColor indexed="64"/>
      </patternFill>
    </fill>
    <fill>
      <patternFill patternType="solid">
        <fgColor theme="2" tint="-0.499984740745262"/>
        <bgColor indexed="64"/>
      </patternFill>
    </fill>
    <fill>
      <patternFill patternType="solid">
        <fgColor theme="0" tint="-0.499984740745262"/>
        <bgColor indexed="64"/>
      </patternFill>
    </fill>
    <fill>
      <patternFill patternType="solid">
        <fgColor theme="2" tint="-0.749992370372631"/>
        <bgColor indexed="64"/>
      </patternFill>
    </fill>
    <fill>
      <patternFill patternType="solid">
        <fgColor rgb="FF7030A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4EF5"/>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rgb="FF000000"/>
      </left>
      <right style="thin">
        <color rgb="FF000000"/>
      </right>
      <top style="thin">
        <color rgb="FF000000"/>
      </top>
      <bottom/>
      <diagonal/>
    </border>
  </borders>
  <cellStyleXfs count="4">
    <xf numFmtId="0" fontId="0" fillId="0" borderId="0"/>
    <xf numFmtId="0" fontId="9" fillId="0" borderId="0" applyNumberFormat="0" applyFill="0" applyBorder="0" applyAlignment="0" applyProtection="0"/>
    <xf numFmtId="165" fontId="23" fillId="0" borderId="0" applyFont="0" applyFill="0" applyBorder="0" applyAlignment="0" applyProtection="0"/>
    <xf numFmtId="9" fontId="23" fillId="0" borderId="0" applyFont="0" applyFill="0" applyBorder="0" applyAlignment="0" applyProtection="0"/>
  </cellStyleXfs>
  <cellXfs count="243">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xf numFmtId="0" fontId="3" fillId="0" borderId="1" xfId="0" applyFont="1" applyBorder="1" applyAlignment="1">
      <alignment horizontal="center" vertical="center" wrapText="1"/>
    </xf>
    <xf numFmtId="0" fontId="5" fillId="3" borderId="0" xfId="0" applyFont="1" applyFill="1" applyAlignment="1">
      <alignment horizontal="center" vertical="center" wrapText="1"/>
    </xf>
    <xf numFmtId="0" fontId="3" fillId="5" borderId="1" xfId="0" applyFont="1" applyFill="1" applyBorder="1" applyAlignment="1">
      <alignment horizontal="center" vertical="center" wrapText="1"/>
    </xf>
    <xf numFmtId="0" fontId="3" fillId="5" borderId="0" xfId="0" applyFont="1" applyFill="1"/>
    <xf numFmtId="0" fontId="0" fillId="0" borderId="0" xfId="0" applyAlignment="1">
      <alignment horizontal="center"/>
    </xf>
    <xf numFmtId="0" fontId="0" fillId="0" borderId="1" xfId="0" applyBorder="1"/>
    <xf numFmtId="0" fontId="3" fillId="10" borderId="0" xfId="0" applyFont="1" applyFill="1"/>
    <xf numFmtId="0" fontId="4" fillId="5"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0" xfId="0" applyAlignment="1">
      <alignment horizontal="center" vertical="center" wrapText="1"/>
    </xf>
    <xf numFmtId="0" fontId="0" fillId="12" borderId="1" xfId="0" applyFill="1" applyBorder="1" applyAlignment="1">
      <alignment vertical="center"/>
    </xf>
    <xf numFmtId="0" fontId="12" fillId="12" borderId="1" xfId="0" applyFont="1" applyFill="1" applyBorder="1" applyAlignment="1">
      <alignment vertical="center" wrapText="1"/>
    </xf>
    <xf numFmtId="0" fontId="0" fillId="0" borderId="0" xfId="0" applyAlignment="1">
      <alignment vertical="center"/>
    </xf>
    <xf numFmtId="0" fontId="0" fillId="13" borderId="1" xfId="0" applyFill="1" applyBorder="1" applyAlignment="1">
      <alignment vertical="center"/>
    </xf>
    <xf numFmtId="0" fontId="12" fillId="13" borderId="1" xfId="0" applyFont="1" applyFill="1" applyBorder="1" applyAlignment="1">
      <alignment vertical="center" wrapText="1"/>
    </xf>
    <xf numFmtId="0" fontId="0" fillId="14" borderId="1" xfId="0" applyFill="1" applyBorder="1" applyAlignment="1">
      <alignment vertical="center"/>
    </xf>
    <xf numFmtId="0" fontId="12" fillId="14" borderId="1" xfId="0" applyFont="1" applyFill="1" applyBorder="1" applyAlignment="1">
      <alignment vertical="center" wrapText="1"/>
    </xf>
    <xf numFmtId="0" fontId="0" fillId="15" borderId="1" xfId="0" applyFill="1" applyBorder="1" applyAlignment="1">
      <alignment vertical="center"/>
    </xf>
    <xf numFmtId="0" fontId="12" fillId="15" borderId="1" xfId="0" applyFont="1" applyFill="1" applyBorder="1" applyAlignment="1">
      <alignment vertical="center" wrapText="1"/>
    </xf>
    <xf numFmtId="0" fontId="11" fillId="0" borderId="0" xfId="0" applyFont="1" applyAlignment="1">
      <alignment vertical="center"/>
    </xf>
    <xf numFmtId="0" fontId="12" fillId="0" borderId="0" xfId="0" applyFont="1" applyAlignment="1">
      <alignment horizontal="center" vertical="center" wrapText="1"/>
    </xf>
    <xf numFmtId="0" fontId="12" fillId="0" borderId="0" xfId="0" applyFont="1" applyAlignment="1">
      <alignment vertical="center" wrapText="1"/>
    </xf>
    <xf numFmtId="167" fontId="0" fillId="0" borderId="0" xfId="0" applyNumberFormat="1"/>
    <xf numFmtId="167" fontId="13" fillId="0" borderId="0" xfId="0" applyNumberFormat="1" applyFont="1"/>
    <xf numFmtId="0" fontId="8" fillId="0" borderId="0" xfId="0" applyFont="1"/>
    <xf numFmtId="168" fontId="3" fillId="10" borderId="1" xfId="0" applyNumberFormat="1" applyFont="1" applyFill="1" applyBorder="1" applyAlignment="1">
      <alignment horizontal="center" vertical="center" wrapText="1"/>
    </xf>
    <xf numFmtId="0" fontId="4" fillId="7" borderId="3"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11" borderId="12"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168" fontId="3" fillId="10" borderId="9" xfId="0" applyNumberFormat="1" applyFont="1" applyFill="1" applyBorder="1" applyAlignment="1">
      <alignment horizontal="center" vertical="center" wrapText="1"/>
    </xf>
    <xf numFmtId="0" fontId="3" fillId="0" borderId="9" xfId="0" applyFont="1" applyBorder="1" applyAlignment="1">
      <alignment horizontal="center" vertical="center" wrapText="1"/>
    </xf>
    <xf numFmtId="0" fontId="3" fillId="2" borderId="9" xfId="0" applyFont="1" applyFill="1" applyBorder="1" applyAlignment="1">
      <alignment horizontal="center" vertical="center" wrapText="1"/>
    </xf>
    <xf numFmtId="169" fontId="0" fillId="0" borderId="0" xfId="0" applyNumberFormat="1"/>
    <xf numFmtId="0" fontId="14"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0" fillId="0" borderId="1" xfId="0" applyBorder="1" applyAlignment="1">
      <alignment horizontal="left" vertical="center"/>
    </xf>
    <xf numFmtId="0" fontId="18" fillId="0" borderId="0" xfId="0" applyFont="1"/>
    <xf numFmtId="168" fontId="3" fillId="10" borderId="12" xfId="0" applyNumberFormat="1" applyFont="1" applyFill="1" applyBorder="1" applyAlignment="1">
      <alignment horizontal="center" vertical="center" wrapText="1"/>
    </xf>
    <xf numFmtId="0" fontId="21" fillId="2" borderId="1" xfId="0" applyFont="1" applyFill="1" applyBorder="1" applyAlignment="1">
      <alignment horizontal="center" vertical="top" wrapText="1"/>
    </xf>
    <xf numFmtId="0" fontId="21" fillId="2" borderId="9" xfId="0" applyFont="1" applyFill="1" applyBorder="1" applyAlignment="1">
      <alignment horizontal="center" vertical="top" wrapText="1"/>
    </xf>
    <xf numFmtId="0" fontId="3" fillId="0" borderId="0" xfId="0" applyFont="1" applyAlignment="1">
      <alignment horizontal="center" vertical="center"/>
    </xf>
    <xf numFmtId="0" fontId="7" fillId="0" borderId="1" xfId="0" applyFont="1" applyBorder="1" applyAlignment="1">
      <alignment horizontal="center" vertical="center" wrapText="1"/>
    </xf>
    <xf numFmtId="0" fontId="16"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17" fillId="0" borderId="1" xfId="0" applyFont="1" applyBorder="1" applyAlignment="1">
      <alignment horizontal="left" vertical="center" wrapText="1" indent="1"/>
    </xf>
    <xf numFmtId="0" fontId="0" fillId="9" borderId="0" xfId="0" applyFill="1"/>
    <xf numFmtId="0" fontId="3" fillId="17" borderId="1"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3" fillId="17" borderId="9" xfId="0" applyFont="1" applyFill="1" applyBorder="1" applyAlignment="1">
      <alignment horizontal="center" vertical="center" wrapText="1"/>
    </xf>
    <xf numFmtId="0" fontId="3" fillId="17" borderId="0" xfId="0" applyFont="1" applyFill="1"/>
    <xf numFmtId="1" fontId="3" fillId="17" borderId="1" xfId="0" applyNumberFormat="1" applyFont="1" applyFill="1" applyBorder="1" applyAlignment="1">
      <alignment horizontal="center" vertical="center" wrapText="1"/>
    </xf>
    <xf numFmtId="170" fontId="3" fillId="17"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9" fontId="0" fillId="0" borderId="0" xfId="3" applyFont="1"/>
    <xf numFmtId="0" fontId="7" fillId="0" borderId="12" xfId="0" applyFont="1" applyBorder="1" applyAlignment="1">
      <alignment horizontal="center" vertical="top" wrapText="1"/>
    </xf>
    <xf numFmtId="0" fontId="7" fillId="18" borderId="12" xfId="0" applyFont="1" applyFill="1" applyBorder="1" applyAlignment="1">
      <alignment horizontal="center" vertical="top" wrapText="1"/>
    </xf>
    <xf numFmtId="0" fontId="0" fillId="0" borderId="0" xfId="0" applyAlignment="1">
      <alignment wrapText="1"/>
    </xf>
    <xf numFmtId="9" fontId="0" fillId="0" borderId="0" xfId="3" applyFont="1" applyFill="1"/>
    <xf numFmtId="0" fontId="6" fillId="16" borderId="0" xfId="0" applyFont="1" applyFill="1"/>
    <xf numFmtId="169" fontId="6" fillId="16" borderId="0" xfId="0" applyNumberFormat="1" applyFont="1" applyFill="1"/>
    <xf numFmtId="9" fontId="6" fillId="16" borderId="0" xfId="3" applyFont="1" applyFill="1"/>
    <xf numFmtId="171" fontId="6" fillId="16" borderId="0" xfId="2" applyNumberFormat="1" applyFont="1" applyFill="1"/>
    <xf numFmtId="0" fontId="7" fillId="19" borderId="12" xfId="0" applyFont="1" applyFill="1" applyBorder="1" applyAlignment="1">
      <alignment horizontal="center" vertical="top" wrapText="1"/>
    </xf>
    <xf numFmtId="0" fontId="7" fillId="20" borderId="12" xfId="0" applyFont="1" applyFill="1" applyBorder="1" applyAlignment="1">
      <alignment horizontal="center" vertical="top" wrapText="1"/>
    </xf>
    <xf numFmtId="0" fontId="7" fillId="21" borderId="12" xfId="0" applyFont="1" applyFill="1" applyBorder="1" applyAlignment="1">
      <alignment horizontal="center" vertical="top" wrapText="1"/>
    </xf>
    <xf numFmtId="167" fontId="7" fillId="6" borderId="12" xfId="0" applyNumberFormat="1" applyFont="1" applyFill="1" applyBorder="1" applyAlignment="1">
      <alignment horizontal="center" vertical="top" wrapText="1"/>
    </xf>
    <xf numFmtId="0" fontId="8" fillId="16" borderId="0" xfId="0" applyFont="1" applyFill="1"/>
    <xf numFmtId="171" fontId="0" fillId="0" borderId="0" xfId="2" applyNumberFormat="1" applyFont="1"/>
    <xf numFmtId="171" fontId="8" fillId="16" borderId="0" xfId="2" applyNumberFormat="1" applyFont="1" applyFill="1"/>
    <xf numFmtId="0" fontId="7" fillId="0" borderId="0" xfId="0" applyFont="1"/>
    <xf numFmtId="169" fontId="7" fillId="0" borderId="0" xfId="0" applyNumberFormat="1" applyFont="1"/>
    <xf numFmtId="0" fontId="24" fillId="18" borderId="1" xfId="0" applyFont="1" applyFill="1" applyBorder="1" applyAlignment="1">
      <alignment horizontal="center" vertical="center"/>
    </xf>
    <xf numFmtId="0" fontId="25" fillId="18" borderId="1" xfId="0" applyFont="1" applyFill="1" applyBorder="1" applyAlignment="1">
      <alignment horizontal="center" vertical="center"/>
    </xf>
    <xf numFmtId="0" fontId="25" fillId="18" borderId="12" xfId="0" applyFont="1" applyFill="1" applyBorder="1" applyAlignment="1">
      <alignment horizontal="center" vertical="center"/>
    </xf>
    <xf numFmtId="0" fontId="26" fillId="0" borderId="0" xfId="0" applyFont="1" applyAlignment="1">
      <alignment horizontal="center" vertical="center"/>
    </xf>
    <xf numFmtId="0" fontId="27" fillId="0" borderId="6" xfId="0" applyFont="1" applyBorder="1" applyAlignment="1">
      <alignment horizontal="left" vertical="center"/>
    </xf>
    <xf numFmtId="0" fontId="0" fillId="0" borderId="0" xfId="0" applyAlignment="1">
      <alignment horizontal="center" vertical="center"/>
    </xf>
    <xf numFmtId="0" fontId="27" fillId="0" borderId="1" xfId="0" applyFont="1" applyBorder="1" applyAlignment="1">
      <alignment horizontal="left" vertical="center"/>
    </xf>
    <xf numFmtId="164" fontId="27" fillId="0" borderId="1" xfId="0" applyNumberFormat="1" applyFont="1" applyBorder="1" applyAlignment="1">
      <alignment horizontal="center" vertical="center"/>
    </xf>
    <xf numFmtId="0" fontId="27" fillId="8" borderId="1" xfId="0" applyFont="1" applyFill="1" applyBorder="1" applyAlignment="1">
      <alignment horizontal="left" vertical="center"/>
    </xf>
    <xf numFmtId="0" fontId="26" fillId="8" borderId="0" xfId="0" applyFont="1" applyFill="1" applyAlignment="1">
      <alignment horizontal="center" vertical="center"/>
    </xf>
    <xf numFmtId="0" fontId="27" fillId="0" borderId="1" xfId="0" applyFont="1" applyBorder="1" applyAlignment="1">
      <alignment horizontal="left" vertical="center" wrapText="1"/>
    </xf>
    <xf numFmtId="1" fontId="27" fillId="0" borderId="1" xfId="0" applyNumberFormat="1" applyFont="1" applyBorder="1" applyAlignment="1">
      <alignment horizontal="center" vertical="center"/>
    </xf>
    <xf numFmtId="166" fontId="27" fillId="0" borderId="1" xfId="0" applyNumberFormat="1" applyFont="1" applyBorder="1" applyAlignment="1">
      <alignment horizontal="center" vertical="center"/>
    </xf>
    <xf numFmtId="9" fontId="27" fillId="0" borderId="1" xfId="3" applyFont="1" applyFill="1" applyBorder="1" applyAlignment="1">
      <alignment horizontal="center" vertical="center"/>
    </xf>
    <xf numFmtId="172" fontId="27" fillId="0" borderId="1" xfId="3" applyNumberFormat="1" applyFont="1" applyBorder="1" applyAlignment="1">
      <alignment horizontal="center" vertical="center"/>
    </xf>
    <xf numFmtId="4" fontId="0" fillId="0" borderId="0" xfId="0" applyNumberFormat="1" applyAlignment="1">
      <alignment horizontal="center" vertical="center"/>
    </xf>
    <xf numFmtId="164" fontId="0" fillId="0" borderId="0" xfId="0" applyNumberFormat="1" applyAlignment="1">
      <alignment horizontal="center" vertical="center"/>
    </xf>
    <xf numFmtId="0" fontId="3" fillId="2" borderId="9" xfId="0" applyFont="1" applyFill="1" applyBorder="1"/>
    <xf numFmtId="0" fontId="3" fillId="2" borderId="9" xfId="0" applyFont="1" applyFill="1" applyBorder="1" applyAlignment="1">
      <alignment horizontal="center" vertical="center"/>
    </xf>
    <xf numFmtId="0" fontId="4" fillId="6" borderId="2" xfId="0" applyFont="1" applyFill="1" applyBorder="1" applyAlignment="1">
      <alignment horizontal="center" vertical="center"/>
    </xf>
    <xf numFmtId="0" fontId="4" fillId="22" borderId="12" xfId="0" applyFont="1" applyFill="1" applyBorder="1" applyAlignment="1">
      <alignment horizontal="center" vertical="center" wrapText="1"/>
    </xf>
    <xf numFmtId="173" fontId="27" fillId="0" borderId="9" xfId="0" applyNumberFormat="1" applyFont="1" applyBorder="1" applyAlignment="1">
      <alignment horizontal="center" vertical="center"/>
    </xf>
    <xf numFmtId="173" fontId="27" fillId="0" borderId="1" xfId="0" applyNumberFormat="1" applyFont="1" applyBorder="1" applyAlignment="1">
      <alignment horizontal="center" vertical="center"/>
    </xf>
    <xf numFmtId="174" fontId="27" fillId="0" borderId="1" xfId="0" applyNumberFormat="1" applyFont="1" applyBorder="1" applyAlignment="1">
      <alignment horizontal="center" vertical="center"/>
    </xf>
    <xf numFmtId="174" fontId="27" fillId="0" borderId="9" xfId="0" applyNumberFormat="1" applyFont="1" applyBorder="1" applyAlignment="1">
      <alignment horizontal="center" vertical="center"/>
    </xf>
    <xf numFmtId="174" fontId="0" fillId="0" borderId="9" xfId="0" applyNumberFormat="1" applyBorder="1" applyAlignment="1">
      <alignment horizontal="center" vertical="center"/>
    </xf>
    <xf numFmtId="174" fontId="0" fillId="0" borderId="0" xfId="0" applyNumberFormat="1" applyAlignment="1">
      <alignment horizontal="center" vertical="center"/>
    </xf>
    <xf numFmtId="174" fontId="27" fillId="8" borderId="1" xfId="0" applyNumberFormat="1" applyFont="1" applyFill="1" applyBorder="1" applyAlignment="1">
      <alignment horizontal="center" vertical="center"/>
    </xf>
    <xf numFmtId="1" fontId="27" fillId="23" borderId="1" xfId="0" applyNumberFormat="1" applyFont="1" applyFill="1" applyBorder="1" applyAlignment="1">
      <alignment horizontal="center" vertical="center"/>
    </xf>
    <xf numFmtId="175" fontId="27" fillId="0" borderId="1" xfId="0" applyNumberFormat="1" applyFont="1" applyBorder="1" applyAlignment="1">
      <alignment horizontal="center" vertical="center"/>
    </xf>
    <xf numFmtId="0" fontId="27" fillId="0" borderId="8" xfId="0" applyFont="1" applyBorder="1" applyAlignment="1">
      <alignment horizontal="left" vertical="center"/>
    </xf>
    <xf numFmtId="168" fontId="3" fillId="0" borderId="11"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9" xfId="0" applyFont="1" applyBorder="1" applyAlignment="1">
      <alignment horizontal="left" vertical="center" wrapText="1"/>
    </xf>
    <xf numFmtId="16" fontId="2" fillId="0" borderId="1" xfId="0" applyNumberFormat="1" applyFont="1" applyBorder="1" applyAlignment="1">
      <alignment horizontal="left" vertical="center" wrapText="1"/>
    </xf>
    <xf numFmtId="167" fontId="7" fillId="6" borderId="7" xfId="0" applyNumberFormat="1" applyFont="1" applyFill="1" applyBorder="1" applyAlignment="1">
      <alignment horizontal="center" vertical="top" wrapText="1"/>
    </xf>
    <xf numFmtId="167" fontId="7" fillId="4" borderId="0" xfId="0" applyNumberFormat="1" applyFont="1" applyFill="1" applyAlignment="1">
      <alignment horizontal="center" vertical="top" wrapText="1"/>
    </xf>
    <xf numFmtId="171" fontId="8" fillId="0" borderId="0" xfId="2" applyNumberFormat="1" applyFont="1"/>
    <xf numFmtId="169" fontId="8" fillId="0" borderId="0" xfId="0" applyNumberFormat="1" applyFont="1"/>
    <xf numFmtId="0" fontId="0" fillId="0" borderId="13" xfId="0" applyBorder="1"/>
    <xf numFmtId="0" fontId="0" fillId="0" borderId="0" xfId="0" applyAlignment="1">
      <alignment horizontal="right"/>
    </xf>
    <xf numFmtId="0" fontId="0" fillId="0" borderId="14" xfId="0" applyBorder="1"/>
    <xf numFmtId="0" fontId="8" fillId="16" borderId="0" xfId="0" applyFont="1" applyFill="1" applyAlignment="1">
      <alignment horizontal="center"/>
    </xf>
    <xf numFmtId="0" fontId="0" fillId="8" borderId="0" xfId="0" applyFill="1"/>
    <xf numFmtId="0" fontId="31" fillId="0" borderId="0" xfId="0" applyFont="1"/>
    <xf numFmtId="0" fontId="32" fillId="0" borderId="0" xfId="0" applyFont="1" applyAlignment="1">
      <alignment horizontal="left" indent="1"/>
    </xf>
    <xf numFmtId="14" fontId="0" fillId="0" borderId="0" xfId="0" applyNumberFormat="1"/>
    <xf numFmtId="0" fontId="0" fillId="24" borderId="0" xfId="0" applyFill="1"/>
    <xf numFmtId="0" fontId="0" fillId="0" borderId="0" xfId="0" quotePrefix="1"/>
    <xf numFmtId="0" fontId="30" fillId="0" borderId="0" xfId="0" applyFont="1"/>
    <xf numFmtId="0" fontId="33" fillId="0" borderId="0" xfId="0" applyFont="1"/>
    <xf numFmtId="0" fontId="3" fillId="0" borderId="10" xfId="0" applyFont="1" applyBorder="1" applyAlignment="1">
      <alignment horizontal="center" vertical="center" wrapText="1"/>
    </xf>
    <xf numFmtId="170" fontId="3" fillId="17" borderId="9" xfId="0" applyNumberFormat="1" applyFont="1" applyFill="1" applyBorder="1" applyAlignment="1">
      <alignment horizontal="center" vertical="center" wrapText="1"/>
    </xf>
    <xf numFmtId="169" fontId="30" fillId="0" borderId="0" xfId="0" applyNumberFormat="1" applyFont="1"/>
    <xf numFmtId="171" fontId="0" fillId="0" borderId="0" xfId="0" applyNumberFormat="1"/>
    <xf numFmtId="171" fontId="7" fillId="0" borderId="0" xfId="0" applyNumberFormat="1" applyFont="1"/>
    <xf numFmtId="16" fontId="2" fillId="0" borderId="9" xfId="0" applyNumberFormat="1" applyFont="1" applyBorder="1" applyAlignment="1">
      <alignment horizontal="left" vertical="center" wrapText="1"/>
    </xf>
    <xf numFmtId="0" fontId="29" fillId="6" borderId="0" xfId="0" applyFont="1" applyFill="1" applyAlignment="1">
      <alignment vertical="center"/>
    </xf>
    <xf numFmtId="0" fontId="4" fillId="25" borderId="7" xfId="0" applyFont="1" applyFill="1" applyBorder="1" applyAlignment="1">
      <alignment horizontal="center" vertical="center" wrapText="1"/>
    </xf>
    <xf numFmtId="0" fontId="7" fillId="25" borderId="12" xfId="0" applyFont="1" applyFill="1" applyBorder="1" applyAlignment="1">
      <alignment horizontal="center" vertical="top" wrapText="1"/>
    </xf>
    <xf numFmtId="0" fontId="4" fillId="25" borderId="12" xfId="0" applyFont="1" applyFill="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9" xfId="0" applyFont="1" applyBorder="1" applyAlignment="1">
      <alignment horizontal="left" vertical="center" wrapText="1"/>
    </xf>
    <xf numFmtId="0" fontId="34" fillId="2" borderId="1"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34" fillId="2" borderId="9" xfId="0" applyFont="1" applyFill="1" applyBorder="1" applyAlignment="1">
      <alignment horizontal="center" vertical="center" wrapText="1"/>
    </xf>
    <xf numFmtId="0" fontId="36" fillId="5" borderId="9" xfId="0" applyFont="1" applyFill="1" applyBorder="1" applyAlignment="1">
      <alignment horizontal="center" vertical="center" wrapText="1"/>
    </xf>
    <xf numFmtId="0" fontId="40" fillId="2" borderId="9" xfId="0" applyFont="1" applyFill="1" applyBorder="1" applyAlignment="1">
      <alignment horizontal="center" vertical="center" wrapText="1"/>
    </xf>
    <xf numFmtId="0" fontId="0" fillId="26" borderId="15" xfId="0" applyFill="1" applyBorder="1"/>
    <xf numFmtId="0" fontId="0" fillId="26" borderId="16" xfId="0" applyFill="1" applyBorder="1"/>
    <xf numFmtId="0" fontId="0" fillId="26" borderId="17" xfId="0" applyFill="1" applyBorder="1"/>
    <xf numFmtId="0" fontId="0" fillId="26" borderId="18" xfId="0" applyFill="1" applyBorder="1"/>
    <xf numFmtId="0" fontId="0" fillId="26" borderId="18" xfId="0" applyFill="1" applyBorder="1" applyAlignment="1">
      <alignment horizontal="center"/>
    </xf>
    <xf numFmtId="0" fontId="3" fillId="0" borderId="9" xfId="0" applyFont="1" applyBorder="1"/>
    <xf numFmtId="0" fontId="34" fillId="0" borderId="9" xfId="0" applyFont="1" applyBorder="1" applyAlignment="1">
      <alignment horizontal="center" vertical="center" wrapText="1"/>
    </xf>
    <xf numFmtId="0" fontId="35" fillId="2" borderId="9" xfId="0" applyFont="1" applyFill="1" applyBorder="1" applyAlignment="1">
      <alignment horizontal="center" vertical="center" wrapText="1"/>
    </xf>
    <xf numFmtId="0" fontId="2" fillId="2" borderId="9" xfId="0" applyFont="1" applyFill="1" applyBorder="1" applyAlignment="1">
      <alignment horizontal="center" vertical="center"/>
    </xf>
    <xf numFmtId="0" fontId="3" fillId="0" borderId="6" xfId="0" applyFont="1" applyBorder="1" applyAlignment="1">
      <alignment horizontal="center" vertical="center" wrapText="1"/>
    </xf>
    <xf numFmtId="168" fontId="3" fillId="0" borderId="1"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9" xfId="0" applyFont="1" applyBorder="1" applyAlignment="1">
      <alignment horizontal="left" vertical="center" wrapText="1"/>
    </xf>
    <xf numFmtId="14" fontId="3" fillId="0" borderId="9"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14" fontId="34" fillId="0" borderId="1" xfId="0" applyNumberFormat="1" applyFont="1" applyBorder="1" applyAlignment="1">
      <alignment horizontal="center" vertical="center" wrapText="1"/>
    </xf>
    <xf numFmtId="14" fontId="2" fillId="0" borderId="9" xfId="0" applyNumberFormat="1" applyFont="1" applyBorder="1" applyAlignment="1">
      <alignment horizontal="center" vertical="center" wrapText="1"/>
    </xf>
    <xf numFmtId="14" fontId="34" fillId="0" borderId="9"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0" applyFont="1" applyAlignment="1">
      <alignment horizontal="center"/>
    </xf>
    <xf numFmtId="0" fontId="3" fillId="2" borderId="0" xfId="0" applyFont="1" applyFill="1"/>
    <xf numFmtId="0" fontId="4" fillId="2" borderId="0" xfId="0" applyFont="1" applyFill="1"/>
    <xf numFmtId="0" fontId="3" fillId="10" borderId="18" xfId="0" applyFont="1" applyFill="1" applyBorder="1" applyAlignment="1">
      <alignment horizontal="center" vertical="center" wrapText="1"/>
    </xf>
    <xf numFmtId="0" fontId="3" fillId="0" borderId="18" xfId="0" applyFont="1" applyBorder="1" applyAlignment="1">
      <alignment horizontal="center" vertical="center" wrapText="1"/>
    </xf>
    <xf numFmtId="168" fontId="3" fillId="10" borderId="7" xfId="0" applyNumberFormat="1" applyFont="1" applyFill="1" applyBorder="1" applyAlignment="1">
      <alignment horizontal="center" vertical="center" wrapText="1"/>
    </xf>
    <xf numFmtId="168" fontId="3" fillId="10" borderId="11" xfId="0" applyNumberFormat="1" applyFont="1" applyFill="1" applyBorder="1" applyAlignment="1">
      <alignment horizontal="center" vertical="center" wrapText="1"/>
    </xf>
    <xf numFmtId="168" fontId="3" fillId="10" borderId="5" xfId="0" applyNumberFormat="1" applyFont="1" applyFill="1" applyBorder="1" applyAlignment="1">
      <alignment horizontal="center" vertical="center" wrapText="1"/>
    </xf>
    <xf numFmtId="0" fontId="4" fillId="11" borderId="19" xfId="0" applyFont="1" applyFill="1" applyBorder="1" applyAlignment="1">
      <alignment horizontal="center" vertical="center" wrapText="1"/>
    </xf>
    <xf numFmtId="0" fontId="3" fillId="0" borderId="11" xfId="0" applyFont="1" applyBorder="1" applyAlignment="1">
      <alignment horizontal="center" vertical="center" wrapText="1"/>
    </xf>
    <xf numFmtId="1" fontId="3" fillId="0" borderId="11" xfId="0" applyNumberFormat="1" applyFont="1" applyBorder="1" applyAlignment="1">
      <alignment horizontal="center" vertical="center" wrapText="1"/>
    </xf>
    <xf numFmtId="0" fontId="3" fillId="0" borderId="5" xfId="0" applyFont="1" applyBorder="1" applyAlignment="1">
      <alignment horizontal="center" vertical="center" wrapText="1"/>
    </xf>
    <xf numFmtId="1" fontId="3" fillId="0" borderId="9" xfId="0" applyNumberFormat="1" applyFont="1" applyBorder="1" applyAlignment="1">
      <alignment horizontal="center" vertical="center" wrapText="1"/>
    </xf>
    <xf numFmtId="168" fontId="3" fillId="0" borderId="9" xfId="0" applyNumberFormat="1" applyFont="1" applyBorder="1" applyAlignment="1">
      <alignment horizontal="center" vertical="center" wrapText="1"/>
    </xf>
    <xf numFmtId="0" fontId="34" fillId="0" borderId="11" xfId="0" applyFont="1" applyBorder="1" applyAlignment="1">
      <alignment horizontal="center" vertical="center" wrapText="1"/>
    </xf>
    <xf numFmtId="1" fontId="34" fillId="0" borderId="9" xfId="0" applyNumberFormat="1" applyFont="1" applyBorder="1" applyAlignment="1">
      <alignment horizontal="center" vertical="center" wrapText="1"/>
    </xf>
    <xf numFmtId="0" fontId="34" fillId="0" borderId="5" xfId="0" applyFont="1" applyBorder="1" applyAlignment="1">
      <alignment horizontal="center" vertical="center" wrapText="1"/>
    </xf>
    <xf numFmtId="168" fontId="3" fillId="27" borderId="11" xfId="0" applyNumberFormat="1" applyFont="1" applyFill="1" applyBorder="1" applyAlignment="1">
      <alignment horizontal="center" vertical="center" wrapText="1"/>
    </xf>
    <xf numFmtId="168" fontId="3" fillId="27" borderId="1" xfId="0" applyNumberFormat="1" applyFont="1" applyFill="1" applyBorder="1" applyAlignment="1">
      <alignment horizontal="center" vertical="center" wrapText="1"/>
    </xf>
    <xf numFmtId="168" fontId="3" fillId="27" borderId="5" xfId="0" applyNumberFormat="1" applyFont="1" applyFill="1" applyBorder="1" applyAlignment="1">
      <alignment horizontal="center" vertical="center" wrapText="1"/>
    </xf>
    <xf numFmtId="168" fontId="34" fillId="27" borderId="11" xfId="0" applyNumberFormat="1" applyFont="1" applyFill="1" applyBorder="1" applyAlignment="1">
      <alignment horizontal="center" vertical="center" wrapText="1"/>
    </xf>
    <xf numFmtId="0" fontId="3" fillId="27" borderId="0" xfId="0" applyFont="1" applyFill="1"/>
    <xf numFmtId="168" fontId="3" fillId="28" borderId="11" xfId="0" applyNumberFormat="1" applyFont="1" applyFill="1" applyBorder="1" applyAlignment="1">
      <alignment horizontal="center" vertical="center" wrapText="1"/>
    </xf>
    <xf numFmtId="168" fontId="3" fillId="28" borderId="5" xfId="0" applyNumberFormat="1" applyFont="1" applyFill="1" applyBorder="1" applyAlignment="1">
      <alignment horizontal="center" vertical="center" wrapText="1"/>
    </xf>
    <xf numFmtId="168" fontId="34" fillId="28" borderId="11" xfId="0" applyNumberFormat="1" applyFont="1" applyFill="1" applyBorder="1" applyAlignment="1">
      <alignment horizontal="center" vertical="center" wrapText="1"/>
    </xf>
    <xf numFmtId="168" fontId="34" fillId="28" borderId="5" xfId="0" applyNumberFormat="1" applyFont="1" applyFill="1" applyBorder="1" applyAlignment="1">
      <alignment horizontal="center" vertical="center" wrapText="1"/>
    </xf>
    <xf numFmtId="0" fontId="3" fillId="28" borderId="0" xfId="0" applyFont="1" applyFill="1"/>
    <xf numFmtId="0" fontId="34" fillId="5" borderId="1"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3" fillId="0" borderId="10" xfId="0" applyFont="1" applyBorder="1"/>
    <xf numFmtId="0" fontId="3" fillId="10" borderId="20" xfId="0" applyFont="1" applyFill="1" applyBorder="1" applyAlignment="1">
      <alignment horizontal="center" vertical="center" wrapText="1"/>
    </xf>
    <xf numFmtId="0" fontId="34" fillId="0" borderId="18" xfId="0" applyFont="1" applyBorder="1" applyAlignment="1">
      <alignment horizontal="center" vertical="center" wrapText="1"/>
    </xf>
    <xf numFmtId="0" fontId="3" fillId="0" borderId="18" xfId="0" applyFont="1" applyBorder="1"/>
    <xf numFmtId="0" fontId="2"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2" fillId="14" borderId="1" xfId="0" applyFont="1" applyFill="1" applyBorder="1" applyAlignment="1">
      <alignment horizontal="center" vertical="center" wrapText="1"/>
    </xf>
    <xf numFmtId="0" fontId="10" fillId="14" borderId="1" xfId="0" applyFont="1" applyFill="1" applyBorder="1" applyAlignment="1">
      <alignment horizontal="center" vertical="center" wrapText="1"/>
    </xf>
    <xf numFmtId="0" fontId="12" fillId="15" borderId="1" xfId="0" applyFont="1" applyFill="1" applyBorder="1" applyAlignment="1">
      <alignment horizontal="center" vertical="center" wrapText="1"/>
    </xf>
    <xf numFmtId="0" fontId="10" fillId="15" borderId="1"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12" fillId="12" borderId="1" xfId="0" applyFont="1" applyFill="1" applyBorder="1" applyAlignment="1">
      <alignment horizontal="center" vertical="center" wrapText="1"/>
    </xf>
    <xf numFmtId="0" fontId="10" fillId="12" borderId="1" xfId="0" applyFont="1" applyFill="1" applyBorder="1" applyAlignment="1">
      <alignment horizontal="center" vertical="center" wrapText="1"/>
    </xf>
    <xf numFmtId="0" fontId="12" fillId="13" borderId="1" xfId="0" applyFont="1" applyFill="1" applyBorder="1" applyAlignment="1">
      <alignment horizontal="center" vertical="center" wrapText="1"/>
    </xf>
    <xf numFmtId="0" fontId="10" fillId="13" borderId="1" xfId="0" applyFont="1" applyFill="1" applyBorder="1" applyAlignment="1">
      <alignment horizontal="center" vertical="center" wrapText="1"/>
    </xf>
    <xf numFmtId="0" fontId="25" fillId="4" borderId="0" xfId="0" applyFont="1" applyFill="1" applyAlignment="1">
      <alignment horizontal="center" vertical="center"/>
    </xf>
    <xf numFmtId="0" fontId="25" fillId="7" borderId="0" xfId="0" applyFont="1" applyFill="1" applyAlignment="1">
      <alignment horizontal="left" vertical="center"/>
    </xf>
    <xf numFmtId="0" fontId="25" fillId="7" borderId="2" xfId="0" applyFont="1" applyFill="1" applyBorder="1" applyAlignment="1">
      <alignment horizontal="left" vertical="center"/>
    </xf>
    <xf numFmtId="0" fontId="28" fillId="25" borderId="0" xfId="0" applyFont="1" applyFill="1" applyAlignment="1">
      <alignment horizontal="center" vertical="center" wrapText="1"/>
    </xf>
    <xf numFmtId="0" fontId="28" fillId="7" borderId="0" xfId="0" applyFont="1" applyFill="1" applyAlignment="1">
      <alignment horizontal="center" vertical="center" wrapText="1"/>
    </xf>
    <xf numFmtId="0" fontId="28" fillId="6" borderId="10" xfId="0" applyFont="1" applyFill="1" applyBorder="1" applyAlignment="1">
      <alignment horizontal="center" vertical="center" wrapText="1"/>
    </xf>
    <xf numFmtId="0" fontId="28" fillId="6" borderId="0" xfId="0" applyFont="1" applyFill="1" applyAlignment="1">
      <alignment horizontal="center" vertical="center" wrapText="1"/>
    </xf>
    <xf numFmtId="0" fontId="28" fillId="11" borderId="10" xfId="0" applyFont="1" applyFill="1" applyBorder="1" applyAlignment="1">
      <alignment horizontal="center" vertical="center" wrapText="1"/>
    </xf>
    <xf numFmtId="0" fontId="28" fillId="11" borderId="0" xfId="0" applyFont="1" applyFill="1" applyAlignment="1">
      <alignment horizontal="center" vertical="center" wrapText="1"/>
    </xf>
    <xf numFmtId="0" fontId="28" fillId="11" borderId="4" xfId="0" applyFont="1" applyFill="1" applyBorder="1" applyAlignment="1">
      <alignment horizontal="center" vertical="center" wrapText="1"/>
    </xf>
    <xf numFmtId="0" fontId="28" fillId="22" borderId="0" xfId="0" applyFont="1" applyFill="1" applyAlignment="1">
      <alignment horizontal="center" vertical="center"/>
    </xf>
    <xf numFmtId="0" fontId="28" fillId="22" borderId="4" xfId="0" applyFont="1" applyFill="1" applyBorder="1" applyAlignment="1">
      <alignment horizontal="center" vertical="center"/>
    </xf>
    <xf numFmtId="0" fontId="29" fillId="6" borderId="0" xfId="0" applyFont="1" applyFill="1" applyAlignment="1">
      <alignment horizontal="center" vertical="center"/>
    </xf>
    <xf numFmtId="0" fontId="6" fillId="16" borderId="0" xfId="0" applyFont="1" applyFill="1" applyAlignment="1">
      <alignment horizontal="center"/>
    </xf>
    <xf numFmtId="0" fontId="16" fillId="0" borderId="1" xfId="0" applyFont="1" applyBorder="1" applyAlignment="1">
      <alignment horizontal="left" vertical="center" wrapText="1" indent="1"/>
    </xf>
    <xf numFmtId="0" fontId="0" fillId="0" borderId="1" xfId="0" applyBorder="1" applyAlignment="1">
      <alignment horizontal="left" vertical="center"/>
    </xf>
    <xf numFmtId="0" fontId="0" fillId="26" borderId="18" xfId="0" applyFill="1" applyBorder="1" applyAlignment="1">
      <alignment horizontal="center"/>
    </xf>
    <xf numFmtId="0" fontId="0" fillId="0" borderId="0" xfId="0" applyAlignment="1">
      <alignment horizontal="center"/>
    </xf>
  </cellXfs>
  <cellStyles count="4">
    <cellStyle name="Comma" xfId="2" builtinId="3"/>
    <cellStyle name="Hiperlink 2" xfId="1" xr:uid="{D3838369-5752-4BA6-A612-2B5AE80BE514}"/>
    <cellStyle name="Normal" xfId="0" builtinId="0"/>
    <cellStyle name="Percent" xfId="3" builtinId="5"/>
  </cellStyles>
  <dxfs count="139">
    <dxf>
      <numFmt numFmtId="0" formatCode="General"/>
    </dxf>
    <dxf>
      <numFmt numFmtId="176" formatCode="dd/mm/yyyy"/>
    </dxf>
    <dxf>
      <numFmt numFmtId="176" formatCode="dd/mm/yyyy"/>
    </dxf>
    <dxf>
      <numFmt numFmtId="0" formatCode="General"/>
    </dxf>
    <dxf>
      <numFmt numFmtId="0" formatCode="General"/>
    </dxf>
    <dxf>
      <font>
        <strike val="0"/>
        <outline val="0"/>
        <shadow val="0"/>
        <u val="none"/>
        <vertAlign val="baseline"/>
        <sz val="10"/>
        <color theme="1"/>
        <name val="Courier New"/>
        <scheme val="none"/>
      </font>
      <numFmt numFmtId="0" formatCode="General"/>
      <alignment horizontal="left" vertical="bottom" textRotation="0" wrapText="0" relativeIndent="1" justifyLastLine="0" shrinkToFit="0" readingOrder="0"/>
    </dxf>
    <dxf>
      <font>
        <strike val="0"/>
        <outline val="0"/>
        <shadow val="0"/>
        <u val="none"/>
        <vertAlign val="baseline"/>
        <sz val="11"/>
        <color theme="1"/>
        <name val="Courier New"/>
        <scheme val="none"/>
      </font>
      <numFmt numFmtId="0" formatCode="General"/>
    </dxf>
    <dxf>
      <font>
        <strike val="0"/>
        <outline val="0"/>
        <shadow val="0"/>
        <u val="none"/>
        <vertAlign val="baseline"/>
        <sz val="11"/>
        <color theme="1"/>
        <name val="Courier New"/>
        <scheme val="none"/>
      </font>
      <numFmt numFmtId="0" formatCode="General"/>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numFmt numFmtId="174" formatCode="_-[$USD]\ * #,##0_-;\-[$USD]\ * #,##0_-;_-[$USD]\ *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name val="Verdana"/>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alignment horizontal="left" vertical="center" textRotation="0" wrapText="0" indent="0" justifyLastLine="0" shrinkToFit="0" readingOrder="0"/>
      <border diagonalUp="0" diagonalDown="0" outline="0">
        <left/>
        <right style="thin">
          <color auto="1"/>
        </right>
        <top style="thin">
          <color auto="1"/>
        </top>
        <bottom/>
      </border>
    </dxf>
    <dxf>
      <font>
        <b val="0"/>
        <i val="0"/>
        <strike val="0"/>
        <condense val="0"/>
        <extend val="0"/>
        <outline val="0"/>
        <shadow val="0"/>
        <u val="none"/>
        <vertAlign val="baseline"/>
        <sz val="11"/>
        <color theme="1"/>
        <name val="Verdana"/>
        <family val="2"/>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top style="thin">
          <color rgb="FF000000"/>
        </top>
      </border>
    </dxf>
    <dxf>
      <border diagonalUp="0" diagonalDown="0">
        <left style="thin">
          <color rgb="FF000000"/>
        </left>
        <right style="thin">
          <color rgb="FF000000"/>
        </right>
        <top/>
        <bottom/>
        <vertical style="thin">
          <color rgb="FF000000"/>
        </vertical>
        <horizontal style="thin">
          <color rgb="FF000000"/>
        </horizontal>
      </border>
    </dxf>
    <dxf>
      <border outline="0">
        <left style="thin">
          <color auto="1"/>
        </left>
        <right style="thin">
          <color auto="1"/>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0"/>
        <name val="Verdana"/>
        <family val="2"/>
        <scheme val="none"/>
      </font>
      <fill>
        <patternFill patternType="solid">
          <fgColor indexed="64"/>
          <bgColor theme="1"/>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71" formatCode="_-* #,##0_-;\-* #,##0_-;_-* &quot;-&quot;??_-;_-@_-"/>
    </dxf>
    <dxf>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0"/>
        </top>
        <bottom style="thin">
          <color theme="0"/>
        </bottom>
      </border>
    </dxf>
    <dxf>
      <numFmt numFmtId="171" formatCode="_-* #,##0_-;\-* #,##0_-;_-* &quot;-&quot;??_-;_-@_-"/>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0"/>
        </top>
        <bottom style="thin">
          <color theme="0"/>
        </bottom>
      </border>
    </dxf>
    <dxf>
      <font>
        <strike val="0"/>
        <outline val="0"/>
        <shadow val="0"/>
        <u val="none"/>
        <vertAlign val="baseline"/>
        <sz val="11"/>
        <color rgb="FFFFFFFF"/>
        <name val="Calibri"/>
        <family val="2"/>
        <scheme val="none"/>
      </font>
      <numFmt numFmtId="177" formatCode="&quot;R$&quot;\ #,##0"/>
      <fill>
        <patternFill>
          <fgColor indexed="64"/>
          <bgColor theme="8"/>
        </patternFill>
      </fill>
    </dxf>
    <dxf>
      <numFmt numFmtId="169" formatCode="#,##0_ ;[Red]\-#,##0\ "/>
    </dxf>
    <dxf>
      <numFmt numFmtId="169" formatCode="#,##0_ ;[Red]\-#,##0\ "/>
    </dxf>
    <dxf>
      <font>
        <strike val="0"/>
        <outline val="0"/>
        <shadow val="0"/>
        <u val="none"/>
        <vertAlign val="baseline"/>
        <sz val="11"/>
        <color rgb="FFFFFFFF"/>
        <name val="Calibri"/>
        <family val="2"/>
        <scheme val="none"/>
      </font>
      <numFmt numFmtId="177" formatCode="&quot;R$&quot;\ #,##0"/>
      <fill>
        <patternFill>
          <fgColor indexed="64"/>
          <bgColor theme="8"/>
        </patternFill>
      </fill>
    </dxf>
    <dxf>
      <numFmt numFmtId="169" formatCode="#,##0_ ;[Red]\-#,##0\ "/>
    </dxf>
    <dxf>
      <font>
        <b val="0"/>
        <i val="0"/>
        <strike val="0"/>
        <condense val="0"/>
        <extend val="0"/>
        <outline val="0"/>
        <shadow val="0"/>
        <u val="none"/>
        <vertAlign val="baseline"/>
        <sz val="11"/>
        <color theme="1"/>
        <name val="Calibri"/>
        <family val="2"/>
        <scheme val="minor"/>
      </font>
      <numFmt numFmtId="169" formatCode="#,##0_ ;[Red]\-#,##0\ "/>
    </dxf>
    <dxf>
      <numFmt numFmtId="169" formatCode="#,##0_ ;[Red]\-#,##0\ "/>
    </dxf>
    <dxf>
      <font>
        <b val="0"/>
        <i val="0"/>
        <strike val="0"/>
        <condense val="0"/>
        <extend val="0"/>
        <outline val="0"/>
        <shadow val="0"/>
        <u val="none"/>
        <vertAlign val="baseline"/>
        <sz val="11"/>
        <color theme="1"/>
        <name val="Calibri"/>
        <family val="2"/>
        <scheme val="minor"/>
      </font>
      <numFmt numFmtId="169" formatCode="#,##0_ ;[Red]\-#,##0\ "/>
    </dxf>
    <dxf>
      <font>
        <b val="0"/>
        <i val="0"/>
        <strike val="0"/>
        <condense val="0"/>
        <extend val="0"/>
        <outline val="0"/>
        <shadow val="0"/>
        <u val="none"/>
        <vertAlign val="baseline"/>
        <sz val="11"/>
        <color theme="1"/>
        <name val="Calibri"/>
        <family val="2"/>
        <scheme val="minor"/>
      </font>
      <numFmt numFmtId="169" formatCode="#,##0_ ;[Red]\-#,##0\ "/>
    </dxf>
    <dxf>
      <font>
        <b val="0"/>
        <i val="0"/>
        <strike val="0"/>
        <condense val="0"/>
        <extend val="0"/>
        <outline val="0"/>
        <shadow val="0"/>
        <u val="none"/>
        <vertAlign val="baseline"/>
        <sz val="11"/>
        <color theme="0"/>
        <name val="Calibri"/>
        <family val="2"/>
        <scheme val="minor"/>
      </font>
      <numFmt numFmtId="169" formatCode="#,##0_ ;[Red]\-#,##0\ "/>
    </dxf>
    <dxf>
      <numFmt numFmtId="169" formatCode="#,##0_ ;[Red]\-#,##0\ "/>
    </dxf>
    <dxf>
      <numFmt numFmtId="169" formatCode="#,##0_ ;[Red]\-#,##0\ "/>
      <fill>
        <patternFill patternType="none">
          <fgColor indexed="64"/>
          <bgColor indexed="65"/>
        </patternFill>
      </fill>
    </dxf>
    <dxf>
      <numFmt numFmtId="169" formatCode="#,##0_ ;[Red]\-#,##0\ "/>
      <fill>
        <patternFill patternType="none">
          <fgColor indexed="64"/>
          <bgColor auto="1"/>
        </patternFill>
      </fill>
    </dxf>
    <dxf>
      <numFmt numFmtId="169" formatCode="#,##0_ ;[Red]\-#,##0\ "/>
      <fill>
        <patternFill patternType="none">
          <fgColor indexed="64"/>
          <bgColor indexed="65"/>
        </patternFill>
      </fill>
    </dxf>
    <dxf>
      <numFmt numFmtId="169" formatCode="#,##0_ ;[Red]\-#,##0\ "/>
      <fill>
        <patternFill patternType="none">
          <fgColor indexed="64"/>
          <bgColor indexed="65"/>
        </patternFill>
      </fill>
    </dxf>
    <dxf>
      <numFmt numFmtId="169" formatCode="#,##0_ ;[Red]\-#,##0\ "/>
      <fill>
        <patternFill patternType="none">
          <fgColor indexed="64"/>
          <bgColor indexed="65"/>
        </patternFill>
      </fill>
    </dxf>
    <dxf>
      <font>
        <color auto="1"/>
      </font>
      <numFmt numFmtId="167" formatCode="#,##0.00_ ;[Red]\-#,##0.00\ "/>
      <fill>
        <patternFill patternType="none">
          <fgColor indexed="64"/>
          <bgColor auto="1"/>
        </patternFill>
      </fill>
    </dxf>
    <dxf>
      <numFmt numFmtId="169" formatCode="#,##0_ ;[Red]\-#,##0\ "/>
      <fill>
        <patternFill patternType="none">
          <fgColor indexed="64"/>
          <bgColor indexed="65"/>
        </patternFill>
      </fill>
    </dxf>
    <dxf>
      <numFmt numFmtId="169" formatCode="#,##0_ ;[Red]\-#,##0\ "/>
      <fill>
        <patternFill patternType="none">
          <fgColor indexed="64"/>
          <bgColor auto="1"/>
        </patternFill>
      </fill>
    </dxf>
    <dxf>
      <numFmt numFmtId="169" formatCode="#,##0_ ;[Red]\-#,##0\ "/>
      <fill>
        <patternFill patternType="none">
          <fgColor indexed="64"/>
          <bgColor indexed="65"/>
        </patternFill>
      </fill>
    </dxf>
    <dxf>
      <numFmt numFmtId="169" formatCode="#,##0_ ;[Red]\-#,##0\ "/>
      <fill>
        <patternFill patternType="none">
          <fgColor indexed="64"/>
          <bgColor auto="1"/>
        </patternFill>
      </fill>
    </dxf>
    <dxf>
      <numFmt numFmtId="169" formatCode="#,##0_ ;[Red]\-#,##0\ "/>
    </dxf>
    <dxf>
      <font>
        <b val="0"/>
        <i val="0"/>
        <strike val="0"/>
        <condense val="0"/>
        <extend val="0"/>
        <outline val="0"/>
        <shadow val="0"/>
        <u val="none"/>
        <vertAlign val="baseline"/>
        <sz val="11"/>
        <color theme="1"/>
        <name val="Calibri"/>
        <family val="2"/>
        <scheme val="minor"/>
      </font>
    </dxf>
    <dxf>
      <numFmt numFmtId="169" formatCode="#,##0_ ;[Red]\-#,##0\ "/>
    </dxf>
    <dxf>
      <numFmt numFmtId="169" formatCode="#,##0_ ;[Red]\-#,##0\ "/>
    </dxf>
    <dxf>
      <numFmt numFmtId="169" formatCode="#,##0_ ;[Red]\-#,##0\ "/>
    </dxf>
    <dxf>
      <numFmt numFmtId="169" formatCode="#,##0_ ;[Red]\-#,##0\ "/>
    </dxf>
    <dxf>
      <font>
        <strike val="0"/>
        <outline val="0"/>
        <shadow val="0"/>
        <u val="none"/>
        <vertAlign val="baseline"/>
        <sz val="11"/>
        <color rgb="FFFFFFFF"/>
        <name val="Calibri"/>
        <family val="2"/>
        <scheme val="none"/>
      </font>
      <numFmt numFmtId="177" formatCode="&quot;R$&quot;\ #,##0"/>
      <fill>
        <patternFill>
          <fgColor indexed="64"/>
          <bgColor theme="8"/>
        </patternFill>
      </fill>
    </dxf>
    <dxf>
      <border outline="0">
        <top style="thin">
          <color auto="1"/>
        </top>
      </border>
    </dxf>
    <dxf>
      <border outline="0">
        <bottom style="thin">
          <color auto="1"/>
        </bottom>
      </border>
    </dxf>
    <dxf>
      <font>
        <b/>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1"/>
        <color rgb="FFFFFFFF"/>
        <name val="Calibri"/>
        <family val="2"/>
        <scheme val="none"/>
      </font>
      <numFmt numFmtId="177" formatCode="&quot;R$&quot;\ #,##0"/>
      <fill>
        <patternFill>
          <fgColor rgb="FF000000"/>
          <bgColor rgb="FF5B9BD5"/>
        </patternFill>
      </fill>
    </dxf>
    <dxf>
      <font>
        <strike val="0"/>
        <outline val="0"/>
        <shadow val="0"/>
        <u val="none"/>
        <vertAlign val="baseline"/>
        <sz val="11"/>
        <color rgb="FFFFFFFF"/>
        <name val="Calibri"/>
        <family val="2"/>
        <scheme val="none"/>
      </font>
      <numFmt numFmtId="177" formatCode="&quot;R$&quot;\ #,##0"/>
      <fill>
        <patternFill>
          <fgColor indexed="64"/>
          <bgColor theme="8"/>
        </patternFill>
      </fill>
    </dxf>
    <dxf>
      <numFmt numFmtId="169" formatCode="#,##0_ ;[Red]\-#,##0\ "/>
    </dxf>
    <dxf>
      <font>
        <strike val="0"/>
        <outline val="0"/>
        <shadow val="0"/>
        <u val="none"/>
        <vertAlign val="baseline"/>
        <sz val="11"/>
        <color rgb="FFFFFFFF"/>
        <name val="Calibri"/>
        <family val="2"/>
        <scheme val="none"/>
      </font>
      <numFmt numFmtId="177" formatCode="&quot;R$&quot;\ #,##0"/>
      <fill>
        <patternFill>
          <fgColor rgb="FF000000"/>
          <bgColor rgb="FF5B9BD5"/>
        </patternFill>
      </fill>
    </dxf>
    <dxf>
      <border outline="0">
        <top style="thin">
          <color auto="1"/>
        </top>
      </border>
    </dxf>
    <dxf>
      <border outline="0">
        <bottom style="thin">
          <color auto="1"/>
        </bottom>
      </border>
    </dxf>
    <dxf>
      <font>
        <b/>
        <i val="0"/>
        <strike val="0"/>
        <condense val="0"/>
        <extend val="0"/>
        <outline val="0"/>
        <shadow val="0"/>
        <u val="none"/>
        <vertAlign val="baseline"/>
        <sz val="11"/>
        <color theme="1"/>
        <name val="Calibri"/>
        <family val="2"/>
        <scheme val="minor"/>
      </font>
      <alignment horizontal="center"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theme="1"/>
        <name val="Verdana"/>
        <family val="2"/>
        <scheme val="none"/>
      </font>
      <fill>
        <patternFill patternType="solid">
          <fgColor indexed="64"/>
          <bgColor theme="7" tint="0.39997558519241921"/>
        </patternFill>
      </fill>
      <alignment horizontal="center" vertical="center" textRotation="0" wrapText="1" indent="0" justifyLastLine="0" shrinkToFit="0" readingOrder="0"/>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8"/>
        <color theme="1"/>
        <name val="Verdana"/>
        <family val="2"/>
        <scheme val="none"/>
      </font>
      <fill>
        <patternFill patternType="solid">
          <fgColor indexed="64"/>
          <bgColor theme="7" tint="0.39997558519241921"/>
        </patternFill>
      </fill>
      <alignment horizontal="center" vertical="center" textRotation="0" wrapText="1" indent="0" justifyLastLine="0" shrinkToFit="0" readingOrder="0"/>
      <border>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7"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7"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ill>
      <alignment horizontal="center" vertical="center" textRotation="0" wrapText="1"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top style="thin">
          <color auto="1"/>
        </top>
        <bottom style="thin">
          <color auto="1"/>
        </bottom>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rgb="FFAD4EF5"/>
        </patternFill>
      </fill>
      <alignment horizontal="center" vertical="center" textRotation="0" wrapText="1"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rgb="FFAD4EF5"/>
        </patternFill>
      </fill>
      <alignment horizontal="center" vertical="center" textRotation="0" wrapText="1"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rgb="FFAD4EF5"/>
        </patternFill>
      </fill>
      <alignment horizontal="center" vertical="center" textRotation="0" wrapText="1"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5" tint="0.39997558519241921"/>
        </patternFill>
      </fill>
      <alignment horizontal="center" vertical="center" textRotation="0" wrapText="1" indent="0" justifyLastLine="0" shrinkToFit="0" readingOrder="0"/>
      <border diagonalUp="0" diagonalDown="0">
        <left style="thin">
          <color auto="1"/>
        </left>
        <right/>
        <top style="thin">
          <color auto="1"/>
        </top>
        <bottom/>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5" tint="0.39997558519241921"/>
        </patternFill>
      </fill>
      <alignment horizontal="center" vertical="center" textRotation="0" wrapText="1" indent="0" justifyLastLine="0" shrinkToFit="0" readingOrder="0"/>
      <border diagonalUp="0" diagonalDown="0">
        <left style="thin">
          <color auto="1"/>
        </left>
        <right/>
        <top style="thin">
          <color auto="1"/>
        </top>
        <bottom/>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5" tint="0.39997558519241921"/>
        </patternFill>
      </fill>
      <alignment horizontal="center" vertical="center" textRotation="0" wrapText="1" indent="0" justifyLastLine="0" shrinkToFit="0" readingOrder="0"/>
      <border diagonalUp="0" diagonalDown="0">
        <left style="thin">
          <color auto="1"/>
        </left>
        <right/>
        <top style="thin">
          <color auto="1"/>
        </top>
        <bottom/>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7"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7"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numFmt numFmtId="168" formatCode="&quot;R$&quot;\ #,##0.00"/>
      <fill>
        <patternFill patternType="solid">
          <fgColor indexed="64"/>
          <bgColor theme="7"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2"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2"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2"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solid">
          <fgColor indexed="64"/>
          <bgColor theme="2" tint="-0.249977111117893"/>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9" tint="0.39997558519241921"/>
        </patternFill>
      </fill>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auto="1"/>
        <name val="Times New Roman"/>
        <family val="1"/>
        <scheme val="none"/>
      </font>
      <fill>
        <patternFill patternType="solid">
          <fgColor indexed="64"/>
          <bgColor theme="9" tint="0.39997558519241921"/>
        </patternFill>
      </fill>
      <alignment horizontal="center"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9"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9"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auto="1"/>
        <name val="Verdana"/>
        <family val="2"/>
        <scheme val="none"/>
      </font>
      <fill>
        <patternFill patternType="solid">
          <fgColor indexed="64"/>
          <bgColor theme="9"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9" tint="0.3999755851924192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numFmt numFmtId="176" formatCode="dd/mm/yyyy"/>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numFmt numFmtId="176" formatCode="dd/mm/yyyy"/>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theme="1"/>
        <name val="Verdana"/>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theme="1"/>
        <name val="Verdana"/>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indexed="64"/>
        </right>
        <top style="thin">
          <color indexed="64"/>
        </top>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border outline="0">
        <left style="thin">
          <color auto="1"/>
        </left>
      </border>
    </dxf>
    <dxf>
      <font>
        <b val="0"/>
        <i val="0"/>
        <strike val="0"/>
        <condense val="0"/>
        <extend val="0"/>
        <outline val="0"/>
        <shadow val="0"/>
        <u val="none"/>
        <vertAlign val="baseline"/>
        <sz val="8"/>
        <color auto="1"/>
        <name val="Verdana"/>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indexed="64"/>
        </right>
        <top style="thin">
          <color indexed="64"/>
        </top>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indexed="64"/>
        </right>
        <top style="thin">
          <color indexed="64"/>
        </top>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none">
          <fgColor indexed="64"/>
          <bgColor auto="1"/>
        </patternFill>
      </fill>
      <alignment horizontal="center" vertical="center" textRotation="0" wrapText="1" indent="0" justifyLastLine="0" shrinkToFit="0" readingOrder="0"/>
      <border diagonalUp="0" diagonalDown="0">
        <left/>
        <right style="thin">
          <color auto="1"/>
        </right>
        <top style="thin">
          <color indexed="64"/>
        </top>
        <bottom style="thin">
          <color indexed="64"/>
        </bottom>
      </border>
    </dxf>
    <dxf>
      <border outline="0">
        <top style="thin">
          <color auto="1"/>
        </top>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Verdana"/>
        <family val="2"/>
        <scheme val="none"/>
      </font>
      <fill>
        <patternFill patternType="solid">
          <fgColor indexed="64"/>
          <bgColor theme="7" tint="0.39997558519241921"/>
        </patternFill>
      </fill>
      <alignment horizontal="center"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8"/>
        <color theme="1"/>
        <name val="Verdana"/>
        <family val="2"/>
        <scheme val="none"/>
      </font>
      <fill>
        <patternFill patternType="solid">
          <fgColor indexed="64"/>
          <bgColor theme="7" tint="-0.249977111117893"/>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bgColor rgb="FFF0E1FF"/>
        </patternFill>
      </fill>
    </dxf>
  </dxfs>
  <tableStyles count="1" defaultTableStyle="TableStyleMedium2" defaultPivotStyle="PivotStyleLight16">
    <tableStyle name="Estilo de Tabela 1" pivot="0" count="1" xr9:uid="{F29DE29F-7480-47CD-99F5-CAF7F6E3C967}">
      <tableStyleElement type="firstRowStripe" dxfId="138"/>
    </tableStyle>
  </tableStyles>
  <colors>
    <mruColors>
      <color rgb="FF38F545"/>
      <color rgb="FFAD4EF5"/>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Marcos Rogerio dos Santos" id="{F71665D7-0DF0-497E-BC48-5456DC5DCF5E}" userId="S::marcos.rogerio@anac.gov.br::6f29da4a-0f37-4f04-bd94-c4f42278d999" providerId="AD"/>
  <person displayName="Leonardo Lucio Esteves" id="{0578D582-4536-451C-B3B9-5B4389B9A430}" userId="S::leonardo.esteves@anac.gov.br::6011567a-9c1c-465e-bb6f-c0554c0b9b6f" providerId="AD"/>
  <person displayName="Barbara Sbraletta Margadonna" id="{C5BBCEA3-170F-4234-AC54-A88B48C37BAB}" userId="S::barbara.margadonna@anac.gov.br::56eae210-cfc5-4243-83a5-2adeec253f6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46AE1DA-3F58-4D68-9FD0-8094E9872BF7}" name="PAI2025Planejamento" displayName="PAI2025Planejamento" ref="A3:BH512" totalsRowShown="0" headerRowDxfId="137" dataDxfId="135" headerRowBorderDxfId="136" tableBorderDxfId="134" totalsRowBorderDxfId="133">
  <autoFilter ref="A3:BH512" xr:uid="{846AE1DA-3F58-4D68-9FD0-8094E9872BF7}">
    <filterColumn colId="4">
      <filters>
        <filter val="SGM (ASINT)"/>
      </filters>
    </filterColumn>
  </autoFilter>
  <tableColumns count="60">
    <tableColumn id="1" xr3:uid="{A9DA2773-C122-4B24-8748-3FB015BE36B8}" name="ORGANISMO" dataDxfId="132"/>
    <tableColumn id="2" xr3:uid="{A30FB79B-4EF3-480E-87E8-267DF51ED1E6}" name="MISSÃO" dataDxfId="131"/>
    <tableColumn id="27" xr3:uid="{4E5CA513-5F55-41F3-B8D3-C38E1DC540C4}" name="SESSÃO" dataDxfId="130"/>
    <tableColumn id="48" xr3:uid="{DF4D0411-9478-4C6A-A140-405D2B1B8355}" name="CÓDIGO PAI" dataDxfId="129"/>
    <tableColumn id="26" xr3:uid="{5A5D0AD2-7A5E-4CEC-A208-4D4578C6D0E7}" name="UDVD" dataDxfId="128"/>
    <tableColumn id="35" xr3:uid="{D857EA1B-00BA-4279-BF3D-3EB4329E3B77}" name="MACROTEMA" dataDxfId="127"/>
    <tableColumn id="3" xr3:uid="{79672EF2-564E-4929-94D2-D722AA091065}" name="COMENTÁRIOS" dataDxfId="126"/>
    <tableColumn id="36" xr3:uid="{FF5B9573-2F07-4845-8584-9A7509EDB1C8}" name="DESTAQUE" dataDxfId="125"/>
    <tableColumn id="51" xr3:uid="{E6C76DB7-2EF1-4D2F-A060-25E28016B05B}" name="STATUS" dataDxfId="124"/>
    <tableColumn id="4" xr3:uid="{49EA9B4D-9C48-48BB-B048-450B82D7ABB2}" name="PRIORIDADE SOLICITADA" dataDxfId="123"/>
    <tableColumn id="6" xr3:uid="{87124860-98BD-4D41-B19A-6B4C41466216}" name="QTDE PCDPs SOLICITADA" dataDxfId="122"/>
    <tableColumn id="40" xr3:uid="{1F0B78DD-2CE6-4070-862A-67D6114FFCC4}" name="PRIORIDADE REVISADA" dataDxfId="121"/>
    <tableColumn id="32" xr3:uid="{310B0788-89E5-4E70-8329-F22AE5063848}" name="QTDE PCPDs REVISADA" dataDxfId="120"/>
    <tableColumn id="56" xr3:uid="{4054333B-A485-4086-A49A-285F778524FB}" name="A+" dataDxfId="119"/>
    <tableColumn id="57" xr3:uid="{4D60D62A-9B59-441A-A78B-47CD1B8C95EB}" name="PCDP REVISADA A+" dataDxfId="118"/>
    <tableColumn id="54" xr3:uid="{86484877-D8F6-42AA-AC4A-A6E5DFE0A707}" name="PREVISÃO" dataDxfId="117"/>
    <tableColumn id="53" xr3:uid="{1C69CD62-2E2D-4D79-9E08-6FA051536500}" name="QTDE PCDPs EMITIDAS" dataDxfId="116"/>
    <tableColumn id="5" xr3:uid="{0D6089F4-C711-4C40-9A64-22F05EF942FB}" name="FORMATO REUNIÃO" dataDxfId="115"/>
    <tableColumn id="7" xr3:uid="{6511969D-FB24-4A3C-98C7-4A4AF830BEE5}" name="DIAS EVENTO" dataDxfId="114"/>
    <tableColumn id="8" xr3:uid="{AC28C8E1-2832-4529-BD2B-6B4976AA658A}" name="PAÍS" dataDxfId="113"/>
    <tableColumn id="37" xr3:uid="{04B6FDE4-8204-4D44-BAA3-13BD5B644D1E}" name="Cidade" dataDxfId="112"/>
    <tableColumn id="30" xr3:uid="{373E9E67-A672-47B7-8576-9E5FF93D1CBC}" name="AMÉRICA LATINA?" dataDxfId="111"/>
    <tableColumn id="38" xr3:uid="{28EF7876-7B87-48D8-9EB3-AFE88EA94CC1}" name="Início evento" dataDxfId="110"/>
    <tableColumn id="44" xr3:uid="{F7DE2799-4ADD-4FA7-8EE2-8346DE3F9DE1}" name="Fim evento" dataDxfId="109"/>
    <tableColumn id="39" xr3:uid="{F3347A9E-DFB4-4B4E-B22E-4D36223EDBE8}" name="Início 2025" dataDxfId="108"/>
    <tableColumn id="9" xr3:uid="{250324E7-5B04-4BA3-9592-861B1059BB9D}" name="TIPO FÓRUM" dataDxfId="107"/>
    <tableColumn id="10" xr3:uid="{E3B7C0D4-D172-411C-82B8-F1209831E83B}" name="PRINCIPAIS OBJETIVOS" dataDxfId="106"/>
    <tableColumn id="11" xr3:uid="{4369D67E-6A26-4D35-8C41-DAD6C24B210B}" name="ATUAÇÃO REPRESENTANTE" dataDxfId="105"/>
    <tableColumn id="12" xr3:uid="{4D537E84-F15C-4A7C-ADA2-2B24D110BF27}" name="OKRs RELACIONADOS" dataDxfId="104"/>
    <tableColumn id="34" xr3:uid="{98964F98-16A1-4DAB-8DB4-0B2BA44E07CB}" name="OKRs RELACIONADOS1" dataDxfId="103"/>
    <tableColumn id="33" xr3:uid="{B2BF9A88-1C43-4458-B401-6DCF1ACE133E}" name="OKRs RELACIONADOS2" dataDxfId="102"/>
    <tableColumn id="13" xr3:uid="{E9BCEFE0-311D-40F1-8521-C690F4867143}" name="PONTUAÇÃO" dataDxfId="101">
      <calculatedColumnFormula>AG4*$AG$2+AI4*$AI$2+AK4*$AK$2+AM4*$AM$2</calculatedColumnFormula>
    </tableColumn>
    <tableColumn id="14" xr3:uid="{495E405B-6309-44F4-A51D-0E2B46FB216C}" name="1) IMPACTO NO MERCADO" dataDxfId="100"/>
    <tableColumn id="15" xr3:uid="{2DA29CAA-983C-4153-8D21-789971419AA6}" name="DETALHE 1" dataDxfId="99"/>
    <tableColumn id="16" xr3:uid="{8BB05510-25EE-4654-95AC-FFB6DF4AF387}" name="2) RELEVÂNCIA TEMÁTICA" dataDxfId="98"/>
    <tableColumn id="17" xr3:uid="{BF1DE905-8570-43CF-AEFC-A16628F9B0D6}" name="DETALHE 2" dataDxfId="97"/>
    <tableColumn id="18" xr3:uid="{AE18C2A4-8BDF-4644-9B05-BFB1E7FB9279}" name="3) TIPO DE ATUAÇÃO" dataDxfId="96"/>
    <tableColumn id="19" xr3:uid="{5715B71A-A072-4866-AF31-9776B3669811}" name="DETALHE 3" dataDxfId="95"/>
    <tableColumn id="20" xr3:uid="{E3D355FB-9E78-4374-8C4E-AF4A40709FF3}" name="4) TIPO DE FÓRUM" dataDxfId="94"/>
    <tableColumn id="21" xr3:uid="{6C5186AB-DA6B-438C-BA7A-D884F4F08B31}" name="DETALHE 4" dataDxfId="93"/>
    <tableColumn id="46" xr3:uid="{88710F34-F553-48F6-92AB-8EE854B1B463}" name="COTAÇÃO" dataDxfId="92"/>
    <tableColumn id="45" xr3:uid="{8352D1AC-41D8-4664-A66C-D4FC140C6FF1}" name="PASSAGEM" dataDxfId="91"/>
    <tableColumn id="47" xr3:uid="{8ADF57A2-35AD-4DFC-9273-974D252878B9}" name="DIÁRIA SOLICITADA" dataDxfId="90"/>
    <tableColumn id="49" xr3:uid="{A2B84380-33F5-450B-8BF1-54BC1D397AFF}" name="DIÁRIA REVISADA" dataDxfId="89"/>
    <tableColumn id="22" xr3:uid="{7D967600-51A4-4F06-8C12-FE4759E9D988}" name="DIÁRIAS (R$)_x000a_SOLICITADO" dataDxfId="88"/>
    <tableColumn id="23" xr3:uid="{EC711637-0589-44C2-976E-99477AA9FB63}" name="PASSAGEM AÉREA (R$)_x000a_SOLICITADO" dataDxfId="87"/>
    <tableColumn id="24" xr3:uid="{587C1C4A-7C0C-4DD9-A28F-DC8FEC0A5F1B}" name="ORÇAMENTO TOTAL (R$)_x000a_SOLICITADO" dataDxfId="86"/>
    <tableColumn id="43" xr3:uid="{240D55A9-B04A-4192-8805-DFC2C7ED5286}" name="DIÁRIAS (R$)_x000a_REVISADO" dataDxfId="85"/>
    <tableColumn id="42" xr3:uid="{41CFEF9C-24C6-4DCB-8B1A-C8D644A28A50}" name="PASSAGEM AÉREA (R$)_x000a_REVISADO" dataDxfId="84"/>
    <tableColumn id="41" xr3:uid="{50CEECDC-BC5A-437F-AFFE-06D8B4E12C2A}" name="ORÇAMENTO TOTAL (R$)_x000a_REVISADO" dataDxfId="83"/>
    <tableColumn id="60" xr3:uid="{10DC7375-A742-443C-8995-0123D841A140}" name="DIÁRIAS (R$) EXECUTADA" dataDxfId="82"/>
    <tableColumn id="59" xr3:uid="{998B9250-9244-4140-8AD0-608AC7B79114}" name="PASSAGEM AÉREA (R$) EXECUTADA" dataDxfId="81"/>
    <tableColumn id="58" xr3:uid="{DE996B5B-4A88-4440-892C-9DBFC869461F}" name="GASTO TOTAL (R$) EXECUTADO" dataDxfId="80">
      <calculatedColumnFormula>PAI2025Planejamento[[#This Row],[PASSAGEM AÉREA (R$) EXECUTADA]]</calculatedColumnFormula>
    </tableColumn>
    <tableColumn id="25" xr3:uid="{37C747F7-3B8F-4CA3-B681-46C1EE488087}" name="SERVIDOR" dataDxfId="79"/>
    <tableColumn id="52" xr3:uid="{FF0F8E5E-0524-4272-945B-99A34B3CCED2}" name="SEI" dataDxfId="78"/>
    <tableColumn id="29" xr3:uid="{8FD18728-EAD5-4089-8BC5-91690F162A4A}" name="FATOR DESLOCAMENTO" dataDxfId="77"/>
    <tableColumn id="28" xr3:uid="{F6AE9011-687E-4D0F-A788-CDEB08A9B5EE}" name="Gerência " dataDxfId="76"/>
    <tableColumn id="31" xr3:uid="{4C610DD7-BE09-4460-B32A-2CD375617EA5}" name="Nova Missão?" dataDxfId="75"/>
    <tableColumn id="50" xr3:uid="{E32F9D36-A349-42BF-9BB5-060E271C0B8E}" name="SEI2" dataDxfId="74"/>
    <tableColumn id="55" xr3:uid="{2CBBDF9D-22A8-49DE-B0E2-EA94E6F030FA}" name="Tipo de missão ASINT" dataDxfId="73"/>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4EE00D2-1524-4E6D-9B9C-0C8F5A78ACE2}" name="Tabela11" displayName="Tabela11" ref="G3:G8" totalsRowShown="0">
  <autoFilter ref="G3:G8" xr:uid="{00000000-0009-0000-0100-000005000000}"/>
  <tableColumns count="1">
    <tableColumn id="1" xr3:uid="{890119C2-E342-4979-8904-B3856AC47E0B}" name="Ano"/>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4E54F97-CA96-4038-A065-4ABD98398476}" name="Resumo2" displayName="Resumo2" ref="A1:C17" totalsRowShown="0" headerRowDxfId="72" totalsRowDxfId="69" headerRowBorderDxfId="71" tableBorderDxfId="70">
  <autoFilter ref="A1:C17" xr:uid="{9F324412-C99E-4BB8-8479-EB292D70B392}"/>
  <tableColumns count="3">
    <tableColumn id="2" xr3:uid="{7D65677F-CE37-400F-B9F2-B581E51BC199}" name="Unidade"/>
    <tableColumn id="6" xr3:uid="{4B7AF907-17F8-4F9B-B33E-D39D94897D9F}" name="ORÇAMENTO POR UDVD _x000a_4mi" dataDxfId="68" totalsRowDxfId="67"/>
    <tableColumn id="1" xr3:uid="{C0051149-F98F-45CD-A3EF-DCA55053CCC5}" name="ORÇAMENTO POR UDVD _x000a_3,3mi" totalsRowDxfId="66">
      <calculatedColumnFormula>Resumo2[[#This Row],[ORÇAMENTO POR UDVD 
4mi]]/$B$18*$C$18</calculatedColumnFormula>
    </tableColumn>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9C0D0E-66C1-41CE-BC22-A989715F2763}" name="Resumo" displayName="Resumo" ref="A1:O17" totalsRowShown="0" headerRowDxfId="65" totalsRowDxfId="62" headerRowBorderDxfId="64" tableBorderDxfId="63">
  <autoFilter ref="A1:O17" xr:uid="{9F324412-C99E-4BB8-8479-EB292D70B392}"/>
  <tableColumns count="15">
    <tableColumn id="2" xr3:uid="{DD8DE4A0-E6E3-42A8-8D19-D06627E56F9B}" name="Unidade"/>
    <tableColumn id="1" xr3:uid="{000AB8F5-29A3-4EE8-80E3-B314B1C4A7FC}" name="PAI 2024 Solicitado" dataDxfId="61" totalsRowDxfId="60"/>
    <tableColumn id="11" xr3:uid="{A1FCDB76-FC02-414F-A3F6-1B36A945A87F}" name="% 2024 Solicitado" dataDxfId="59" totalsRowDxfId="58"/>
    <tableColumn id="15" xr3:uid="{A97EC88F-0857-4FBD-8FFE-0CBA6893D0F7}" name="PAI 2024 Concedido" dataDxfId="57" totalsRowDxfId="56"/>
    <tableColumn id="3" xr3:uid="{B5754C6F-22C6-479A-BB86-49D0EDAA6362}" name="PAI 2024 Concedido Rev" dataDxfId="55" totalsRowDxfId="54"/>
    <tableColumn id="12" xr3:uid="{F05D5AA0-1D58-49F1-A71E-834E98EBB5E1}" name="% 2024 Concedido" dataDxfId="53" totalsRowDxfId="52"/>
    <tableColumn id="4" xr3:uid="{BD1006AF-6228-4968-9272-1150B0CFB259}" name="PAI 2024 Executado" dataDxfId="51" totalsRowDxfId="50"/>
    <tableColumn id="13" xr3:uid="{8E0CFEC0-69B0-4FC6-99B6-35F8CA0614A6}" name="% 2024 Executado" dataDxfId="49" totalsRowDxfId="48"/>
    <tableColumn id="5" xr3:uid="{0E83D46F-4B0A-4720-B945-C4DE63A3B995}" name="PAI 2025 Solicitado A + B" dataDxfId="47" totalsRowDxfId="46">
      <calculatedColumnFormula>SUMIFS(PAI2025Planejamento[ORÇAMENTO TOTAL (R$)
SOLICITADO],PAI2025Planejamento[UDVD],A2)</calculatedColumnFormula>
    </tableColumn>
    <tableColumn id="10" xr3:uid="{0221D097-DA2E-4509-A09F-7F610F01AE6C}" name="PAI 2025 Solicitado A" dataDxfId="45" totalsRowDxfId="44">
      <calculatedColumnFormula>SUMIFS(PAI2025Planejamento[ORÇAMENTO TOTAL (R$)
SOLICITADO],PAI2025Planejamento[UDVD],A2,PAI2025Planejamento[PRIORIDADE SOLICITADA],"A")</calculatedColumnFormula>
    </tableColumn>
    <tableColumn id="8" xr3:uid="{689DD867-58A0-47DA-83D9-CD89073A4047}" name="PAI 2025 Revisado A" dataDxfId="43" totalsRowDxfId="42"/>
    <tableColumn id="17" xr3:uid="{5E223B07-10F7-438D-95BD-FCF366993BD5}" name="Proposta Mineiro" dataDxfId="41" totalsRowDxfId="40"/>
    <tableColumn id="6" xr3:uid="{07DC0540-1EA5-4792-8322-57CB633E6889}" name="PROPOSTA 4mi" dataDxfId="39" totalsRowDxfId="38"/>
    <tableColumn id="7" xr3:uid="{1BBE24E1-7CA8-4290-B836-8CF6F29ECB1B}" name="COMPROMETIDO (SAF)" dataDxfId="37"/>
    <tableColumn id="9" xr3:uid="{2A8D4D64-D86C-457D-9B78-E6F9E6FEC6BC}" name="OBS" dataDxfId="36" totalsRowDxfId="35"/>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1D8B860-FE91-4DF2-9AEE-77B99D0A7A94}" name="Assembleia" displayName="Assembleia" ref="A1:D17" totalsRowShown="0">
  <autoFilter ref="A1:D17" xr:uid="{71D8B860-FE91-4DF2-9AEE-77B99D0A7A94}"/>
  <tableColumns count="4">
    <tableColumn id="1" xr3:uid="{DB22BB3F-D3B4-4319-ADD1-A1726A8F6324}" name="UDVD" dataDxfId="34"/>
    <tableColumn id="3" xr3:uid="{6D27F902-9733-4662-93B5-05B4605F4E1E}" name="PCDPs" dataDxfId="33">
      <calculatedColumnFormula>SUMIFS(PAI2025Planejamento[QTDE PCPDs REVISADA],PAI2025Planejamento[UDVD],A2,PAI2025Planejamento[MACROTEMA],"ASSEMBLEIA")</calculatedColumnFormula>
    </tableColumn>
    <tableColumn id="4" xr3:uid="{9C51F11F-5942-4DA6-B23D-FC7B21B11AE8}" name="Dias de Evento" dataDxfId="32"/>
    <tableColumn id="2" xr3:uid="{E7E8525D-1A35-4DD0-9BBF-667309B0092C}" name="ORÇAMENTO REVISADO" dataDxfId="31">
      <calculatedColumnFormula>SUMIFS(PAI2025Planejamento[ORÇAMENTO TOTAL (R$)
REVISADO],PAI2025Planejamento[UDVD],A2,PAI2025Planejamento[MACROTEMA],"ASSEMBLEIA")</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C6E1F91-35E3-435D-AEC3-0617F315AB17}" name="Assembleia6" displayName="Assembleia6" ref="A2:C10" totalsRowShown="0">
  <autoFilter ref="A2:C10" xr:uid="{71D8B860-FE91-4DF2-9AEE-77B99D0A7A94}"/>
  <tableColumns count="3">
    <tableColumn id="1" xr3:uid="{29D5A329-6673-41A5-B5DA-CEF8FB115C76}" name="UDVD" dataDxfId="30"/>
    <tableColumn id="3" xr3:uid="{67C22BA8-3911-4FA2-BD0F-C8AC08244B02}" name="PCDPs" dataDxfId="29">
      <calculatedColumnFormula>SUMIFS(PAI2025Planejamento[QTDE PCPDs REVISADA],PAI2025Planejamento[UDVD],A3,PAI2025Planejamento[MACROTEMA],"ASSEMBLEIA")</calculatedColumnFormula>
    </tableColumn>
    <tableColumn id="2" xr3:uid="{CA915E94-D410-428E-B46B-1ACAD92DE575}" name="ORÇAMENTO REVISADO" dataDxfId="28">
      <calculatedColumnFormula>SUMIFS(PAI2025Planejamento[ORÇAMENTO TOTAL (R$)
REVISADO],PAI2025Planejamento[UDVD],A3,PAI2025Planejamento[MACROTEMA],"ASSEMBLEIA")</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A8F4BD6-A08A-4DC2-8AF8-43B333DFE8BC}" name="DolarResumo7" displayName="DolarResumo7" ref="A1:I16" totalsRowCount="1" headerRowDxfId="27" totalsRowDxfId="24" headerRowBorderDxfId="26" tableBorderDxfId="25" totalsRowBorderDxfId="23">
  <autoFilter ref="A1:I15" xr:uid="{87668907-AAC2-4844-B16A-43B678B87688}"/>
  <tableColumns count="9">
    <tableColumn id="1" xr3:uid="{C1768663-03A7-4263-B695-0D501DA3AF2C}" name="Coluna1" dataDxfId="22" totalsRowDxfId="21"/>
    <tableColumn id="2" xr3:uid="{8639EFCF-4826-46D6-9A93-547C90516C1E}" name="2018" totalsRowFunction="custom" dataDxfId="20" totalsRowDxfId="19">
      <totalsRowFormula>B5/B8</totalsRowFormula>
    </tableColumn>
    <tableColumn id="3" xr3:uid="{EC87212E-E688-4D41-A95E-72C9348D8705}" name="2019" totalsRowFunction="custom" dataDxfId="18" totalsRowDxfId="17">
      <totalsRowFormula>C5/C8</totalsRowFormula>
    </tableColumn>
    <tableColumn id="4" xr3:uid="{F88FC2E1-0266-4078-88F8-0BA500EDEB91}" name="2020" totalsRowFunction="custom" dataDxfId="16" totalsRowDxfId="15">
      <totalsRowFormula>D5/D8</totalsRowFormula>
    </tableColumn>
    <tableColumn id="5" xr3:uid="{AB266D3D-F70A-46AD-949F-2E8449B5B873}" name="2021" totalsRowFunction="custom" dataDxfId="14" totalsRowDxfId="13">
      <totalsRowFormula>E5/E8</totalsRowFormula>
    </tableColumn>
    <tableColumn id="10" xr3:uid="{A31D50A3-45EB-4EAF-B54E-C071D4DF9E5C}" name="2022" totalsRowFunction="custom" dataDxfId="12" totalsRowDxfId="11">
      <totalsRowFormula>F15/F8</totalsRowFormula>
    </tableColumn>
    <tableColumn id="6" xr3:uid="{6D903BB4-9DAF-4448-9871-73AF69D800A7}" name="2023" totalsRowFunction="custom" totalsRowDxfId="10">
      <totalsRowFormula>G15/G8</totalsRowFormula>
    </tableColumn>
    <tableColumn id="8" xr3:uid="{A5D0CF48-5619-48F4-9080-C66083991FEA}" name="2024" totalsRowFunction="custom" totalsRowDxfId="9">
      <totalsRowFormula>H15/H8</totalsRowFormula>
    </tableColumn>
    <tableColumn id="9" xr3:uid="{A20E5C35-624F-4051-AC17-8976CF4776CE}" name="2025 Revisado" totalsRowFunction="custom" totalsRowDxfId="8">
      <totalsRowFormula>I15/I8</totalsRowFormula>
    </tableColumn>
  </tableColumns>
  <tableStyleInfo name="Estilo de Tabela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12E8955-9109-401A-A3E3-DB057709C7EC}" name="Tabela6" displayName="Tabela6" ref="D3:F72" totalsRowShown="0">
  <autoFilter ref="D3:F72" xr:uid="{00000000-0009-0000-0100-000002000000}"/>
  <sortState xmlns:xlrd2="http://schemas.microsoft.com/office/spreadsheetml/2017/richdata2" ref="D4:F72">
    <sortCondition ref="D3:D72"/>
  </sortState>
  <tableColumns count="3">
    <tableColumn id="1" xr3:uid="{AB1374F5-37CF-4AF4-A670-3DF722B32BBB}" name="Organismo"/>
    <tableColumn id="2" xr3:uid="{518EE9C8-06AA-4FB5-B6B7-FBDF9FE44680}" name="Colunas1"/>
    <tableColumn id="3" xr3:uid="{BFD40A30-C6AA-41D6-BDD0-7CB8731087C5}" name="Colunas2"/>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3CD3379-5555-44B4-A633-EFAB5C5E9C5E}" name="Tabela9" displayName="Tabela9" ref="K3:L13" totalsRowShown="0">
  <autoFilter ref="K3:L13" xr:uid="{00000000-0009-0000-0100-000003000000}"/>
  <tableColumns count="2">
    <tableColumn id="1" xr3:uid="{56C516A6-8F38-408F-94C4-BE6DA5347D61}" name="Macrotema"/>
    <tableColumn id="2" xr3:uid="{F33F9E84-5037-4B9D-9F1C-1453724E96A4}" name="Colunas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DA96941-FDBC-4D5A-9DF1-BDC849827D3C}" name="TabMissoes" displayName="TabMissoes" ref="O3:AB270" totalsRowShown="0">
  <autoFilter ref="O3:AB270" xr:uid="{00000000-0009-0000-0100-000004000000}"/>
  <tableColumns count="14">
    <tableColumn id="1" xr3:uid="{DC994E91-3ABC-407F-A527-DFBEFF186400}" name="Missão"/>
    <tableColumn id="2" xr3:uid="{304E655B-FA3F-426D-80B8-506EC18AEC13}" name="Radical" dataDxfId="7"/>
    <tableColumn id="3" xr3:uid="{4D1F40BC-36D6-4960-B94C-E5BEED0E52A5}" name="Sequencial" dataDxfId="6"/>
    <tableColumn id="4" xr3:uid="{695BCED1-7659-429C-8431-69D49ACD9C14}" name="Código" dataDxfId="5"/>
    <tableColumn id="5" xr3:uid="{533E53BF-5A9F-4102-B70C-B6F099702864}" name="País" dataDxfId="4"/>
    <tableColumn id="6" xr3:uid="{DF841148-149F-47A3-AF4F-2A5A6CD95645}" name="Cidade" dataDxfId="3"/>
    <tableColumn id="7" xr3:uid="{0877757B-CEB1-44CA-9F67-F256641CB1D9}" name="Data de Início" dataDxfId="2"/>
    <tableColumn id="8" xr3:uid="{6FAD2F6E-C336-4733-AF5B-0C061F749EB8}" name="Data de Fim" dataDxfId="1"/>
    <tableColumn id="10" xr3:uid="{FAB397F5-0265-42D6-9E42-8878BA5B2001}" name="Organismo" dataDxfId="0"/>
    <tableColumn id="11" xr3:uid="{2105336C-82EE-43E1-AA61-50A5576579CC}" name="UORG1"/>
    <tableColumn id="12" xr3:uid="{A2227F9A-BBD7-496A-859C-73ABABF2A891}" name="UORG2"/>
    <tableColumn id="13" xr3:uid="{83D025CE-D5F5-48FC-881D-25683AA2ECC8}" name="UORG3"/>
    <tableColumn id="14" xr3:uid="{371B7B04-F68D-4F8A-B2C3-3A301F5EF710}" name="UORG4"/>
    <tableColumn id="15" xr3:uid="{69982EEE-C8A0-46C8-AE37-29F50F619F74}" name="UORG5"/>
  </tableColumns>
  <tableStyleInfo name="TableStyleMedium7"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5" dT="2024-11-28T14:32:17.53" personId="{0578D582-4536-451C-B3B9-5B4389B9A430}" id="{18DE1A51-1483-411E-A5BE-2B3A44A7BCF9}">
    <text>Nova missão incluída a partir de convite recebido. Intenção da SIA é participar de forma virtual.</text>
  </threadedComment>
  <threadedComment ref="B94" dT="2024-11-07T14:44:56.06" personId="{0578D582-4536-451C-B3B9-5B4389B9A430}" id="{654D818D-14D3-4EBB-9BDE-F92931CA76A8}">
    <text>A missão de maio será virtual e a presencial passou para 01/12/2025</text>
  </threadedComment>
  <threadedComment ref="A286" dT="2024-09-11T17:46:40.75" personId="{F71665D7-0DF0-497E-BC48-5456DC5DCF5E}" id="{FA9F51FD-0ECD-4994-A7AF-7FA1BB164651}">
    <text>Foi acrescentada mais uma PCDP por solicitação do Gabão</text>
  </threadedComment>
</ThreadedComments>
</file>

<file path=xl/threadedComments/threadedComment2.xml><?xml version="1.0" encoding="utf-8"?>
<ThreadedComments xmlns="http://schemas.microsoft.com/office/spreadsheetml/2018/threadedcomments" xmlns:x="http://schemas.openxmlformats.org/spreadsheetml/2006/main">
  <threadedComment ref="B3" dT="2021-11-29T15:09:56.68" personId="{C5BBCEA3-170F-4234-AC54-A88B48C37BAB}" id="{D2C0C209-2ECA-4320-B57E-C3D10BE9128C}">
    <text>Incluso Buffer R$500 mil</text>
  </threadedComment>
  <threadedComment ref="C3" dT="2021-11-29T15:10:31.90" personId="{C5BBCEA3-170F-4234-AC54-A88B48C37BAB}" id="{A5FE152D-637C-48CD-B655-000D80B63BC0}">
    <text>Incluso Assembleia R$200 mil</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5.bin"/><Relationship Id="rId5" Type="http://schemas.openxmlformats.org/officeDocument/2006/relationships/table" Target="../tables/table10.xml"/><Relationship Id="rId4" Type="http://schemas.openxmlformats.org/officeDocument/2006/relationships/table" Target="../tables/table9.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04CE1-5821-4D40-AB64-9C2B398B33EF}">
  <dimension ref="A1:F26"/>
  <sheetViews>
    <sheetView zoomScale="106" zoomScaleNormal="106" workbookViewId="0">
      <selection activeCell="B2" sqref="B2:B6"/>
    </sheetView>
  </sheetViews>
  <sheetFormatPr defaultColWidth="9.140625" defaultRowHeight="15"/>
  <cols>
    <col min="1" max="1" width="17.28515625" style="24" customWidth="1"/>
    <col min="2" max="2" width="16.85546875" style="25" customWidth="1"/>
    <col min="3" max="3" width="33.28515625" style="14" customWidth="1"/>
    <col min="4" max="4" width="6.42578125" style="17" customWidth="1"/>
    <col min="5" max="5" width="103.140625" style="26" customWidth="1"/>
    <col min="6" max="16384" width="9.140625" style="17"/>
  </cols>
  <sheetData>
    <row r="1" spans="1:6" s="14" customFormat="1" ht="25.5">
      <c r="A1" s="13" t="s">
        <v>0</v>
      </c>
      <c r="B1" s="13" t="s">
        <v>1</v>
      </c>
      <c r="C1" s="13" t="s">
        <v>2</v>
      </c>
      <c r="D1" s="219" t="s">
        <v>3</v>
      </c>
      <c r="E1" s="220"/>
    </row>
    <row r="2" spans="1:6" ht="50.25" customHeight="1">
      <c r="A2" s="214" t="s">
        <v>4</v>
      </c>
      <c r="B2" s="221" t="s">
        <v>5</v>
      </c>
      <c r="C2" s="222" t="s">
        <v>6</v>
      </c>
      <c r="D2" s="15">
        <v>100</v>
      </c>
      <c r="E2" s="16" t="s">
        <v>7</v>
      </c>
    </row>
    <row r="3" spans="1:6" ht="39.950000000000003" customHeight="1">
      <c r="A3" s="214"/>
      <c r="B3" s="221"/>
      <c r="C3" s="222"/>
      <c r="D3" s="15">
        <v>80</v>
      </c>
      <c r="E3" s="16" t="s">
        <v>8</v>
      </c>
    </row>
    <row r="4" spans="1:6" ht="39.950000000000003" customHeight="1">
      <c r="A4" s="214"/>
      <c r="B4" s="221"/>
      <c r="C4" s="222"/>
      <c r="D4" s="15">
        <v>60</v>
      </c>
      <c r="E4" s="16" t="s">
        <v>9</v>
      </c>
    </row>
    <row r="5" spans="1:6" ht="39.950000000000003" customHeight="1">
      <c r="A5" s="214"/>
      <c r="B5" s="221"/>
      <c r="C5" s="222"/>
      <c r="D5" s="15">
        <v>40</v>
      </c>
      <c r="E5" s="16" t="s">
        <v>10</v>
      </c>
    </row>
    <row r="6" spans="1:6" ht="39.950000000000003" customHeight="1">
      <c r="A6" s="214"/>
      <c r="B6" s="221"/>
      <c r="C6" s="222"/>
      <c r="D6" s="15">
        <v>0</v>
      </c>
      <c r="E6" s="16" t="s">
        <v>11</v>
      </c>
    </row>
    <row r="7" spans="1:6" ht="39.950000000000003" customHeight="1">
      <c r="A7" s="214"/>
      <c r="B7" s="223" t="s">
        <v>12</v>
      </c>
      <c r="C7" s="224" t="s">
        <v>13</v>
      </c>
      <c r="D7" s="18">
        <v>100</v>
      </c>
      <c r="E7" s="19" t="s">
        <v>14</v>
      </c>
      <c r="F7" s="17">
        <v>100</v>
      </c>
    </row>
    <row r="8" spans="1:6" ht="39.950000000000003" customHeight="1">
      <c r="A8" s="214"/>
      <c r="B8" s="223"/>
      <c r="C8" s="224"/>
      <c r="D8" s="18">
        <v>80</v>
      </c>
      <c r="E8" s="19" t="s">
        <v>15</v>
      </c>
    </row>
    <row r="9" spans="1:6" ht="39.950000000000003" customHeight="1">
      <c r="A9" s="214"/>
      <c r="B9" s="223"/>
      <c r="C9" s="224"/>
      <c r="D9" s="18">
        <v>60</v>
      </c>
      <c r="E9" s="19" t="s">
        <v>16</v>
      </c>
    </row>
    <row r="10" spans="1:6" ht="39.950000000000003" customHeight="1">
      <c r="A10" s="214"/>
      <c r="B10" s="223"/>
      <c r="C10" s="224"/>
      <c r="D10" s="18">
        <v>40</v>
      </c>
      <c r="E10" s="19" t="s">
        <v>17</v>
      </c>
    </row>
    <row r="11" spans="1:6" ht="39.950000000000003" customHeight="1">
      <c r="A11" s="214"/>
      <c r="B11" s="223"/>
      <c r="C11" s="224"/>
      <c r="D11" s="18">
        <v>0</v>
      </c>
      <c r="E11" s="19" t="s">
        <v>18</v>
      </c>
    </row>
    <row r="12" spans="1:6" ht="39.950000000000003" customHeight="1">
      <c r="A12" s="214" t="s">
        <v>19</v>
      </c>
      <c r="B12" s="215" t="s">
        <v>20</v>
      </c>
      <c r="C12" s="216" t="s">
        <v>21</v>
      </c>
      <c r="D12" s="20">
        <v>100</v>
      </c>
      <c r="E12" s="21" t="s">
        <v>22</v>
      </c>
    </row>
    <row r="13" spans="1:6" ht="39.950000000000003" customHeight="1">
      <c r="A13" s="214"/>
      <c r="B13" s="215"/>
      <c r="C13" s="216"/>
      <c r="D13" s="20">
        <v>80</v>
      </c>
      <c r="E13" s="21" t="s">
        <v>23</v>
      </c>
    </row>
    <row r="14" spans="1:6" ht="39.950000000000003" customHeight="1">
      <c r="A14" s="214"/>
      <c r="B14" s="215"/>
      <c r="C14" s="216"/>
      <c r="D14" s="20">
        <v>60</v>
      </c>
      <c r="E14" s="21" t="s">
        <v>24</v>
      </c>
    </row>
    <row r="15" spans="1:6" ht="39.950000000000003" customHeight="1">
      <c r="A15" s="214"/>
      <c r="B15" s="215"/>
      <c r="C15" s="216"/>
      <c r="D15" s="20">
        <v>40</v>
      </c>
      <c r="E15" s="21" t="s">
        <v>25</v>
      </c>
      <c r="F15" s="17">
        <v>40</v>
      </c>
    </row>
    <row r="16" spans="1:6" ht="39.950000000000003" customHeight="1">
      <c r="A16" s="214"/>
      <c r="B16" s="215"/>
      <c r="C16" s="216"/>
      <c r="D16" s="20">
        <v>0</v>
      </c>
      <c r="E16" s="21" t="s">
        <v>26</v>
      </c>
    </row>
    <row r="17" spans="1:6" ht="39.950000000000003" customHeight="1">
      <c r="A17" s="214"/>
      <c r="B17" s="217" t="s">
        <v>27</v>
      </c>
      <c r="C17" s="218" t="s">
        <v>28</v>
      </c>
      <c r="D17" s="22">
        <v>100</v>
      </c>
      <c r="E17" s="23" t="s">
        <v>29</v>
      </c>
    </row>
    <row r="18" spans="1:6" ht="39.950000000000003" customHeight="1">
      <c r="A18" s="214"/>
      <c r="B18" s="217"/>
      <c r="C18" s="218"/>
      <c r="D18" s="22">
        <v>80</v>
      </c>
      <c r="E18" s="23" t="s">
        <v>30</v>
      </c>
      <c r="F18" s="17">
        <v>80</v>
      </c>
    </row>
    <row r="19" spans="1:6" ht="39.950000000000003" customHeight="1">
      <c r="A19" s="214"/>
      <c r="B19" s="217"/>
      <c r="C19" s="218"/>
      <c r="D19" s="22">
        <v>60</v>
      </c>
      <c r="E19" s="23" t="s">
        <v>31</v>
      </c>
    </row>
    <row r="20" spans="1:6" ht="39.950000000000003" customHeight="1">
      <c r="A20" s="214"/>
      <c r="B20" s="217"/>
      <c r="C20" s="218"/>
      <c r="D20" s="22">
        <v>40</v>
      </c>
      <c r="E20" s="23" t="s">
        <v>32</v>
      </c>
    </row>
    <row r="21" spans="1:6" ht="39.950000000000003" customHeight="1">
      <c r="A21" s="214"/>
      <c r="B21" s="217"/>
      <c r="C21" s="218"/>
      <c r="D21" s="22">
        <v>0</v>
      </c>
      <c r="E21" s="23" t="s">
        <v>33</v>
      </c>
    </row>
    <row r="22" spans="1:6" ht="39.950000000000003" customHeight="1"/>
    <row r="23" spans="1:6" ht="39.950000000000003" customHeight="1"/>
    <row r="24" spans="1:6" ht="20.100000000000001" customHeight="1"/>
    <row r="25" spans="1:6" ht="20.100000000000001" customHeight="1"/>
    <row r="26" spans="1:6" ht="20.100000000000001" customHeight="1"/>
  </sheetData>
  <mergeCells count="11">
    <mergeCell ref="D1:E1"/>
    <mergeCell ref="A2:A11"/>
    <mergeCell ref="B2:B6"/>
    <mergeCell ref="C2:C6"/>
    <mergeCell ref="B7:B11"/>
    <mergeCell ref="C7:C11"/>
    <mergeCell ref="A12:A21"/>
    <mergeCell ref="B12:B16"/>
    <mergeCell ref="C12:C16"/>
    <mergeCell ref="B17:B21"/>
    <mergeCell ref="C17:C21"/>
  </mergeCells>
  <pageMargins left="0.511811024" right="0.511811024" top="0.78740157499999996" bottom="0.78740157499999996" header="0.31496062000000002" footer="0.31496062000000002"/>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92EBC-CBD7-4953-B71D-32EDD5A345DD}">
  <dimension ref="B2:AB270"/>
  <sheetViews>
    <sheetView topLeftCell="C1" workbookViewId="0">
      <selection activeCell="D14" sqref="D14"/>
    </sheetView>
  </sheetViews>
  <sheetFormatPr defaultColWidth="9.140625" defaultRowHeight="15"/>
  <cols>
    <col min="1" max="1" width="0.5703125" customWidth="1"/>
    <col min="2" max="2" width="9.140625" hidden="1" customWidth="1"/>
    <col min="3" max="3" width="37.85546875" customWidth="1"/>
    <col min="4" max="4" width="20.42578125" customWidth="1"/>
    <col min="5" max="5" width="36.140625" customWidth="1"/>
    <col min="6" max="8" width="11.140625" customWidth="1"/>
    <col min="11" max="11" width="32.42578125" customWidth="1"/>
    <col min="12" max="12" width="11.140625" customWidth="1"/>
    <col min="15" max="15" width="87" hidden="1" customWidth="1"/>
    <col min="16" max="16" width="20.42578125" hidden="1" customWidth="1"/>
    <col min="17" max="17" width="11.85546875" hidden="1" customWidth="1"/>
    <col min="18" max="18" width="23.42578125" hidden="1" customWidth="1"/>
    <col min="19" max="19" width="25" hidden="1" customWidth="1"/>
    <col min="20" max="20" width="17.140625" hidden="1" customWidth="1"/>
    <col min="21" max="22" width="16.42578125" hidden="1" customWidth="1"/>
    <col min="23" max="23" width="19.42578125" hidden="1" customWidth="1"/>
    <col min="24" max="28" width="0" hidden="1" customWidth="1"/>
  </cols>
  <sheetData>
    <row r="2" spans="4:28">
      <c r="D2" t="str">
        <f>ADDRESS(ROW()+2,COLUMN(),1,1,"Apoio")&amp;":"&amp;ADDRESS(ROW()+1+COUNTA(Tabela6[Organismo]),COLUMN(),1,1)</f>
        <v>Apoio!$D$4:$D$71</v>
      </c>
      <c r="G2" t="str">
        <f>ADDRESS(ROW()+2,COLUMN(),1,1,"Apoio")&amp;":"&amp;ADDRESS(ROW()+1+COUNTA(Tabela11[Ano]),COLUMN(),1,1)</f>
        <v>Apoio!$G$4:$G$8</v>
      </c>
      <c r="K2" t="str">
        <f>ADDRESS(ROW()+2,COLUMN(),1,1,"Apoio")&amp;":"&amp;ADDRESS(ROW()+1+COUNTA(Tabela9[Macrotema]),COLUMN(),1,1)</f>
        <v>Apoio!$K$4:$K$13</v>
      </c>
    </row>
    <row r="3" spans="4:28">
      <c r="D3" t="s">
        <v>2411</v>
      </c>
      <c r="E3" t="s">
        <v>2412</v>
      </c>
      <c r="F3" t="s">
        <v>2413</v>
      </c>
      <c r="G3" t="s">
        <v>2414</v>
      </c>
      <c r="K3" t="s">
        <v>2415</v>
      </c>
      <c r="L3" t="s">
        <v>2412</v>
      </c>
      <c r="O3" t="s">
        <v>1677</v>
      </c>
      <c r="P3" t="s">
        <v>2416</v>
      </c>
      <c r="Q3" t="s">
        <v>2417</v>
      </c>
      <c r="R3" t="s">
        <v>2418</v>
      </c>
      <c r="S3" t="s">
        <v>2419</v>
      </c>
      <c r="T3" t="s">
        <v>63</v>
      </c>
      <c r="U3" t="s">
        <v>2420</v>
      </c>
      <c r="V3" t="s">
        <v>2421</v>
      </c>
      <c r="W3" t="s">
        <v>2411</v>
      </c>
      <c r="X3" t="s">
        <v>2422</v>
      </c>
      <c r="Y3" t="s">
        <v>2423</v>
      </c>
      <c r="Z3" t="s">
        <v>2424</v>
      </c>
      <c r="AA3" t="s">
        <v>2425</v>
      </c>
      <c r="AB3" t="s">
        <v>2426</v>
      </c>
    </row>
    <row r="4" spans="4:28">
      <c r="D4" t="s">
        <v>2427</v>
      </c>
      <c r="E4">
        <v>48</v>
      </c>
      <c r="G4">
        <v>2019</v>
      </c>
      <c r="K4" t="s">
        <v>2428</v>
      </c>
      <c r="L4" t="s">
        <v>2429</v>
      </c>
      <c r="O4" t="s">
        <v>2430</v>
      </c>
      <c r="P4" s="132" t="s">
        <v>2431</v>
      </c>
      <c r="Q4" s="132">
        <v>1</v>
      </c>
      <c r="R4" s="133" t="s">
        <v>2432</v>
      </c>
      <c r="S4" t="s">
        <v>2433</v>
      </c>
      <c r="T4" t="s">
        <v>2434</v>
      </c>
      <c r="U4" s="134">
        <v>43477</v>
      </c>
      <c r="V4" s="134">
        <v>43482</v>
      </c>
      <c r="W4" t="s">
        <v>1113</v>
      </c>
    </row>
    <row r="5" spans="4:28">
      <c r="D5" s="137" t="s">
        <v>2435</v>
      </c>
      <c r="E5" s="137">
        <v>61</v>
      </c>
      <c r="G5">
        <v>2020</v>
      </c>
      <c r="K5" t="s">
        <v>2436</v>
      </c>
      <c r="L5" t="s">
        <v>2437</v>
      </c>
      <c r="O5" t="s">
        <v>2438</v>
      </c>
      <c r="P5" s="132" t="s">
        <v>2439</v>
      </c>
      <c r="Q5" s="132">
        <v>1</v>
      </c>
      <c r="R5" s="133" t="s">
        <v>2440</v>
      </c>
      <c r="S5" t="s">
        <v>139</v>
      </c>
      <c r="T5" t="s">
        <v>2441</v>
      </c>
      <c r="U5" s="134">
        <v>43477</v>
      </c>
      <c r="V5" s="134">
        <v>43485</v>
      </c>
      <c r="W5" t="s">
        <v>239</v>
      </c>
    </row>
    <row r="6" spans="4:28">
      <c r="D6" s="131" t="s">
        <v>1293</v>
      </c>
      <c r="E6" s="131">
        <v>16</v>
      </c>
      <c r="G6">
        <v>2021</v>
      </c>
      <c r="K6" t="s">
        <v>340</v>
      </c>
      <c r="L6" t="s">
        <v>2442</v>
      </c>
      <c r="O6" t="s">
        <v>2443</v>
      </c>
      <c r="P6" s="132" t="s">
        <v>2444</v>
      </c>
      <c r="Q6" s="132">
        <v>1</v>
      </c>
      <c r="R6" s="133" t="s">
        <v>2445</v>
      </c>
      <c r="S6" t="s">
        <v>842</v>
      </c>
      <c r="T6" t="s">
        <v>843</v>
      </c>
      <c r="U6" s="134">
        <v>43479</v>
      </c>
      <c r="V6" s="134">
        <v>43483</v>
      </c>
      <c r="W6" t="s">
        <v>2446</v>
      </c>
    </row>
    <row r="7" spans="4:28">
      <c r="D7" t="s">
        <v>2447</v>
      </c>
      <c r="E7">
        <v>68</v>
      </c>
      <c r="G7">
        <v>2022</v>
      </c>
      <c r="K7" t="s">
        <v>2448</v>
      </c>
      <c r="L7" t="s">
        <v>2449</v>
      </c>
      <c r="O7" t="s">
        <v>2450</v>
      </c>
      <c r="P7" s="132" t="s">
        <v>2439</v>
      </c>
      <c r="Q7" s="132">
        <v>2</v>
      </c>
      <c r="R7" s="133" t="s">
        <v>2451</v>
      </c>
      <c r="S7" t="s">
        <v>139</v>
      </c>
      <c r="T7" t="s">
        <v>2452</v>
      </c>
      <c r="U7" s="134">
        <v>43480</v>
      </c>
      <c r="V7" s="134">
        <v>43482</v>
      </c>
      <c r="W7" t="s">
        <v>239</v>
      </c>
    </row>
    <row r="8" spans="4:28">
      <c r="D8" s="131" t="s">
        <v>2453</v>
      </c>
      <c r="E8" s="131">
        <v>15</v>
      </c>
      <c r="G8">
        <v>2023</v>
      </c>
      <c r="K8" t="s">
        <v>2454</v>
      </c>
      <c r="L8" t="s">
        <v>551</v>
      </c>
      <c r="O8" t="s">
        <v>2455</v>
      </c>
      <c r="P8" s="132" t="s">
        <v>2456</v>
      </c>
      <c r="Q8" s="132">
        <v>1</v>
      </c>
      <c r="R8" s="133" t="s">
        <v>2457</v>
      </c>
      <c r="S8" t="s">
        <v>253</v>
      </c>
      <c r="T8" t="s">
        <v>2458</v>
      </c>
      <c r="U8" s="134">
        <v>43480</v>
      </c>
      <c r="V8" s="134">
        <v>43481</v>
      </c>
      <c r="W8" t="s">
        <v>192</v>
      </c>
    </row>
    <row r="9" spans="4:28">
      <c r="D9" t="s">
        <v>2157</v>
      </c>
      <c r="E9">
        <v>41</v>
      </c>
      <c r="K9" t="s">
        <v>152</v>
      </c>
      <c r="L9" t="s">
        <v>2459</v>
      </c>
      <c r="O9" t="s">
        <v>2460</v>
      </c>
      <c r="P9" s="132" t="s">
        <v>2461</v>
      </c>
      <c r="Q9" s="132">
        <v>1</v>
      </c>
      <c r="R9" s="133" t="s">
        <v>2462</v>
      </c>
      <c r="S9" t="s">
        <v>579</v>
      </c>
      <c r="T9" t="s">
        <v>580</v>
      </c>
      <c r="U9" s="134">
        <v>43484</v>
      </c>
      <c r="V9" s="134">
        <v>43491</v>
      </c>
      <c r="W9" t="s">
        <v>192</v>
      </c>
    </row>
    <row r="10" spans="4:28">
      <c r="D10" s="131" t="s">
        <v>135</v>
      </c>
      <c r="E10" s="131">
        <v>18</v>
      </c>
      <c r="K10" t="s">
        <v>2463</v>
      </c>
      <c r="L10" t="s">
        <v>2464</v>
      </c>
      <c r="O10" t="s">
        <v>2465</v>
      </c>
      <c r="P10" s="132" t="s">
        <v>2466</v>
      </c>
      <c r="Q10" s="132">
        <v>1</v>
      </c>
      <c r="R10" s="133" t="s">
        <v>2467</v>
      </c>
      <c r="S10" t="s">
        <v>232</v>
      </c>
      <c r="T10" t="s">
        <v>233</v>
      </c>
      <c r="U10" s="134">
        <v>43486</v>
      </c>
      <c r="V10" s="134">
        <v>43490</v>
      </c>
      <c r="W10" t="s">
        <v>228</v>
      </c>
    </row>
    <row r="11" spans="4:28">
      <c r="D11" t="s">
        <v>2468</v>
      </c>
      <c r="E11">
        <v>47</v>
      </c>
      <c r="K11" t="s">
        <v>2469</v>
      </c>
      <c r="L11" t="s">
        <v>2470</v>
      </c>
      <c r="O11" t="s">
        <v>2471</v>
      </c>
      <c r="P11" s="132" t="s">
        <v>2472</v>
      </c>
      <c r="Q11" s="132">
        <v>1</v>
      </c>
      <c r="R11" s="133" t="s">
        <v>2473</v>
      </c>
      <c r="S11" t="s">
        <v>218</v>
      </c>
      <c r="T11" t="s">
        <v>219</v>
      </c>
      <c r="U11" s="134">
        <v>43491</v>
      </c>
      <c r="V11" s="134">
        <v>43498</v>
      </c>
      <c r="W11" t="s">
        <v>122</v>
      </c>
    </row>
    <row r="12" spans="4:28">
      <c r="D12" s="131" t="s">
        <v>192</v>
      </c>
      <c r="E12" s="131">
        <v>42</v>
      </c>
      <c r="K12" t="s">
        <v>2474</v>
      </c>
      <c r="L12" t="s">
        <v>2475</v>
      </c>
      <c r="O12" t="s">
        <v>2476</v>
      </c>
      <c r="P12" s="132" t="s">
        <v>2431</v>
      </c>
      <c r="Q12" s="132">
        <v>2</v>
      </c>
      <c r="R12" s="133" t="s">
        <v>2477</v>
      </c>
      <c r="S12" t="s">
        <v>2478</v>
      </c>
      <c r="T12" t="s">
        <v>1546</v>
      </c>
      <c r="U12" s="134">
        <v>43492</v>
      </c>
      <c r="V12" s="134">
        <v>43495</v>
      </c>
      <c r="W12" t="s">
        <v>1113</v>
      </c>
    </row>
    <row r="13" spans="4:28">
      <c r="D13" t="s">
        <v>575</v>
      </c>
      <c r="E13">
        <v>69</v>
      </c>
      <c r="K13" t="s">
        <v>321</v>
      </c>
      <c r="L13" t="s">
        <v>2479</v>
      </c>
      <c r="O13" t="s">
        <v>2480</v>
      </c>
      <c r="P13" s="132" t="s">
        <v>2439</v>
      </c>
      <c r="Q13" s="132">
        <v>3</v>
      </c>
      <c r="R13" s="133" t="s">
        <v>2481</v>
      </c>
      <c r="S13" t="s">
        <v>139</v>
      </c>
      <c r="T13" t="s">
        <v>2441</v>
      </c>
      <c r="U13" s="134">
        <v>43495</v>
      </c>
      <c r="V13" s="134">
        <v>43497</v>
      </c>
      <c r="W13" t="s">
        <v>239</v>
      </c>
    </row>
    <row r="14" spans="4:28">
      <c r="D14" t="s">
        <v>867</v>
      </c>
      <c r="E14">
        <v>57</v>
      </c>
      <c r="H14" s="242"/>
      <c r="I14" s="242"/>
      <c r="J14" s="242"/>
      <c r="O14" t="s">
        <v>2482</v>
      </c>
      <c r="P14" s="132" t="s">
        <v>2483</v>
      </c>
      <c r="Q14" s="132">
        <v>1</v>
      </c>
      <c r="R14" s="133" t="s">
        <v>2484</v>
      </c>
      <c r="S14" t="s">
        <v>218</v>
      </c>
      <c r="T14" t="s">
        <v>219</v>
      </c>
      <c r="U14" s="134">
        <v>43498</v>
      </c>
      <c r="V14" s="134">
        <v>43506</v>
      </c>
      <c r="W14" t="s">
        <v>122</v>
      </c>
    </row>
    <row r="15" spans="4:28" ht="14.45" customHeight="1">
      <c r="D15" s="131" t="s">
        <v>1049</v>
      </c>
      <c r="E15" s="131">
        <v>12</v>
      </c>
      <c r="H15" s="162" t="s">
        <v>290</v>
      </c>
      <c r="I15" s="241" t="s">
        <v>340</v>
      </c>
      <c r="J15" s="241"/>
      <c r="O15" t="s">
        <v>2485</v>
      </c>
      <c r="P15" s="132" t="s">
        <v>2472</v>
      </c>
      <c r="Q15" s="132">
        <v>2</v>
      </c>
      <c r="R15" s="133" t="s">
        <v>2486</v>
      </c>
      <c r="S15" t="s">
        <v>218</v>
      </c>
      <c r="T15" t="s">
        <v>219</v>
      </c>
      <c r="U15" s="134">
        <v>43506</v>
      </c>
      <c r="V15" s="134">
        <v>43512</v>
      </c>
      <c r="W15" t="s">
        <v>122</v>
      </c>
    </row>
    <row r="16" spans="4:28">
      <c r="D16" t="s">
        <v>871</v>
      </c>
      <c r="E16">
        <v>11</v>
      </c>
      <c r="H16" s="163">
        <f>VLOOKUP(H15,Tabela6[[Organismo]:[Colunas1]],2,FALSE)</f>
        <v>4</v>
      </c>
      <c r="I16" s="241" t="str">
        <f>VLOOKUP(I15,Tabela9[],2,0)</f>
        <v>SAFE</v>
      </c>
      <c r="J16" s="241"/>
      <c r="O16" t="s">
        <v>2487</v>
      </c>
      <c r="P16" s="132" t="s">
        <v>2488</v>
      </c>
      <c r="Q16" s="132">
        <v>1</v>
      </c>
      <c r="R16" s="133" t="s">
        <v>2489</v>
      </c>
      <c r="S16" t="s">
        <v>253</v>
      </c>
      <c r="T16" t="s">
        <v>2490</v>
      </c>
      <c r="U16" s="134">
        <v>43509</v>
      </c>
      <c r="V16" s="134">
        <v>43511</v>
      </c>
      <c r="W16" t="s">
        <v>192</v>
      </c>
    </row>
    <row r="17" spans="4:23">
      <c r="D17" t="s">
        <v>778</v>
      </c>
      <c r="E17">
        <v>65</v>
      </c>
      <c r="H17" s="159" t="str">
        <f>C74</f>
        <v>2025PAI04SAFE</v>
      </c>
      <c r="I17" s="160"/>
      <c r="J17" s="161"/>
      <c r="O17" t="s">
        <v>2491</v>
      </c>
      <c r="P17" s="132" t="s">
        <v>2492</v>
      </c>
      <c r="Q17" s="132">
        <v>1</v>
      </c>
      <c r="R17" s="133" t="s">
        <v>2493</v>
      </c>
      <c r="S17" t="s">
        <v>218</v>
      </c>
      <c r="T17" t="s">
        <v>219</v>
      </c>
      <c r="U17" s="134">
        <v>43512</v>
      </c>
      <c r="V17" s="134">
        <v>43520</v>
      </c>
      <c r="W17" t="s">
        <v>122</v>
      </c>
    </row>
    <row r="18" spans="4:23" ht="15.75">
      <c r="D18" s="138" t="s">
        <v>2494</v>
      </c>
      <c r="E18" s="137">
        <v>62</v>
      </c>
      <c r="O18" t="s">
        <v>2495</v>
      </c>
      <c r="P18" s="132" t="s">
        <v>2496</v>
      </c>
      <c r="Q18" s="132">
        <v>1</v>
      </c>
      <c r="R18" s="133" t="s">
        <v>2497</v>
      </c>
      <c r="S18" t="s">
        <v>295</v>
      </c>
      <c r="T18" t="s">
        <v>296</v>
      </c>
      <c r="U18" s="134">
        <v>43513</v>
      </c>
      <c r="V18" s="134">
        <v>43541</v>
      </c>
      <c r="W18" t="s">
        <v>290</v>
      </c>
    </row>
    <row r="19" spans="4:23">
      <c r="D19" s="131" t="s">
        <v>735</v>
      </c>
      <c r="E19" s="131">
        <v>3</v>
      </c>
      <c r="O19" t="s">
        <v>2498</v>
      </c>
      <c r="P19" s="132" t="s">
        <v>2499</v>
      </c>
      <c r="Q19" s="132">
        <v>1</v>
      </c>
      <c r="R19" s="133" t="s">
        <v>2500</v>
      </c>
      <c r="S19" t="s">
        <v>2501</v>
      </c>
      <c r="T19" t="s">
        <v>2502</v>
      </c>
      <c r="U19" s="134">
        <v>43514</v>
      </c>
      <c r="V19" s="134">
        <v>43518</v>
      </c>
      <c r="W19" t="s">
        <v>2503</v>
      </c>
    </row>
    <row r="20" spans="4:23">
      <c r="D20" t="s">
        <v>2504</v>
      </c>
      <c r="E20">
        <v>25</v>
      </c>
      <c r="O20" t="s">
        <v>2505</v>
      </c>
      <c r="P20" s="132" t="s">
        <v>2506</v>
      </c>
      <c r="Q20" s="132">
        <v>1</v>
      </c>
      <c r="R20" s="133" t="s">
        <v>2507</v>
      </c>
      <c r="S20" t="s">
        <v>139</v>
      </c>
      <c r="T20" t="s">
        <v>1387</v>
      </c>
      <c r="U20" s="134">
        <v>43515</v>
      </c>
      <c r="V20" s="134">
        <v>43518</v>
      </c>
      <c r="W20" t="s">
        <v>1383</v>
      </c>
    </row>
    <row r="21" spans="4:23">
      <c r="D21" s="131" t="s">
        <v>2508</v>
      </c>
      <c r="E21" s="131">
        <v>34</v>
      </c>
      <c r="O21" t="s">
        <v>2509</v>
      </c>
      <c r="P21" s="132" t="s">
        <v>2510</v>
      </c>
      <c r="Q21" s="132">
        <v>1</v>
      </c>
      <c r="R21" s="133" t="s">
        <v>2511</v>
      </c>
      <c r="S21" t="s">
        <v>295</v>
      </c>
      <c r="T21" t="s">
        <v>296</v>
      </c>
      <c r="U21" s="134">
        <v>43515</v>
      </c>
      <c r="V21" s="134">
        <v>43519</v>
      </c>
      <c r="W21" t="s">
        <v>2503</v>
      </c>
    </row>
    <row r="22" spans="4:23">
      <c r="D22" t="s">
        <v>1113</v>
      </c>
      <c r="E22">
        <v>44</v>
      </c>
      <c r="O22" t="s">
        <v>2512</v>
      </c>
      <c r="P22" s="132" t="s">
        <v>2513</v>
      </c>
      <c r="Q22" s="132">
        <v>1</v>
      </c>
      <c r="R22" s="133" t="s">
        <v>2514</v>
      </c>
      <c r="S22" t="s">
        <v>1574</v>
      </c>
      <c r="T22" t="s">
        <v>1574</v>
      </c>
      <c r="U22" s="134">
        <v>43516</v>
      </c>
      <c r="V22" s="134">
        <v>43517</v>
      </c>
      <c r="W22" t="s">
        <v>476</v>
      </c>
    </row>
    <row r="23" spans="4:23">
      <c r="D23" s="131" t="s">
        <v>228</v>
      </c>
      <c r="E23" s="131">
        <v>7</v>
      </c>
      <c r="O23" t="s">
        <v>2515</v>
      </c>
      <c r="P23" s="132" t="s">
        <v>2472</v>
      </c>
      <c r="Q23" s="132">
        <v>3</v>
      </c>
      <c r="R23" s="133" t="s">
        <v>2516</v>
      </c>
      <c r="S23" t="s">
        <v>218</v>
      </c>
      <c r="T23" t="s">
        <v>219</v>
      </c>
      <c r="U23" s="134">
        <v>43521</v>
      </c>
      <c r="V23" s="134">
        <v>43525</v>
      </c>
      <c r="W23" t="s">
        <v>122</v>
      </c>
    </row>
    <row r="24" spans="4:23">
      <c r="D24" t="s">
        <v>2517</v>
      </c>
      <c r="E24">
        <v>53</v>
      </c>
      <c r="O24" t="s">
        <v>2518</v>
      </c>
      <c r="P24" s="132" t="s">
        <v>2519</v>
      </c>
      <c r="Q24" s="132">
        <v>1</v>
      </c>
      <c r="R24" s="133" t="s">
        <v>2520</v>
      </c>
      <c r="S24" t="s">
        <v>139</v>
      </c>
      <c r="T24" t="s">
        <v>1387</v>
      </c>
      <c r="U24" s="134">
        <v>43521</v>
      </c>
      <c r="V24" s="134">
        <v>43526</v>
      </c>
      <c r="W24" t="s">
        <v>391</v>
      </c>
    </row>
    <row r="25" spans="4:23">
      <c r="D25" s="131" t="s">
        <v>103</v>
      </c>
      <c r="E25" s="131">
        <v>23</v>
      </c>
      <c r="O25" t="s">
        <v>2521</v>
      </c>
      <c r="P25" s="132" t="s">
        <v>2522</v>
      </c>
      <c r="Q25" s="132">
        <v>1</v>
      </c>
      <c r="R25" s="133" t="s">
        <v>2523</v>
      </c>
      <c r="S25" t="s">
        <v>139</v>
      </c>
      <c r="T25" t="s">
        <v>1387</v>
      </c>
      <c r="U25" s="134">
        <v>43521</v>
      </c>
      <c r="V25" s="134">
        <v>43526</v>
      </c>
      <c r="W25" t="s">
        <v>122</v>
      </c>
    </row>
    <row r="26" spans="4:23">
      <c r="D26" t="s">
        <v>2524</v>
      </c>
      <c r="E26">
        <v>20</v>
      </c>
      <c r="O26" t="s">
        <v>2525</v>
      </c>
      <c r="P26" s="132" t="s">
        <v>2513</v>
      </c>
      <c r="Q26" s="132">
        <v>2</v>
      </c>
      <c r="R26" s="133" t="s">
        <v>2526</v>
      </c>
      <c r="S26" t="s">
        <v>232</v>
      </c>
      <c r="T26" t="s">
        <v>233</v>
      </c>
      <c r="U26" s="134">
        <v>43527</v>
      </c>
      <c r="V26" s="134">
        <v>43534</v>
      </c>
      <c r="W26" t="s">
        <v>476</v>
      </c>
    </row>
    <row r="27" spans="4:23">
      <c r="D27" s="131" t="s">
        <v>476</v>
      </c>
      <c r="E27" s="131">
        <v>6</v>
      </c>
      <c r="O27" t="s">
        <v>2527</v>
      </c>
      <c r="P27" s="132" t="s">
        <v>2510</v>
      </c>
      <c r="Q27" s="132">
        <v>2</v>
      </c>
      <c r="R27" s="133" t="s">
        <v>2528</v>
      </c>
      <c r="S27" t="s">
        <v>295</v>
      </c>
      <c r="T27" t="s">
        <v>296</v>
      </c>
      <c r="U27" s="134">
        <v>43527</v>
      </c>
      <c r="V27" s="134">
        <v>43533</v>
      </c>
      <c r="W27" t="s">
        <v>2503</v>
      </c>
    </row>
    <row r="28" spans="4:23">
      <c r="D28" s="131" t="s">
        <v>2529</v>
      </c>
      <c r="E28" s="131">
        <v>8</v>
      </c>
      <c r="O28" t="s">
        <v>2530</v>
      </c>
      <c r="P28" s="132" t="s">
        <v>2513</v>
      </c>
      <c r="Q28" s="132">
        <v>3</v>
      </c>
      <c r="R28" s="133" t="s">
        <v>2531</v>
      </c>
      <c r="S28" t="s">
        <v>139</v>
      </c>
      <c r="T28" t="s">
        <v>2171</v>
      </c>
      <c r="U28" s="134">
        <v>43529</v>
      </c>
      <c r="V28" s="134">
        <v>43532</v>
      </c>
      <c r="W28" t="s">
        <v>476</v>
      </c>
    </row>
    <row r="29" spans="4:23">
      <c r="D29" t="s">
        <v>505</v>
      </c>
      <c r="E29">
        <v>30</v>
      </c>
      <c r="O29" t="s">
        <v>2532</v>
      </c>
      <c r="P29" s="132" t="s">
        <v>2533</v>
      </c>
      <c r="Q29" s="132">
        <v>1</v>
      </c>
      <c r="R29" s="133" t="s">
        <v>2534</v>
      </c>
      <c r="S29" t="s">
        <v>2535</v>
      </c>
      <c r="T29" t="s">
        <v>2536</v>
      </c>
      <c r="U29" s="134">
        <v>43529</v>
      </c>
      <c r="V29" s="134">
        <v>43533</v>
      </c>
      <c r="W29" t="s">
        <v>391</v>
      </c>
    </row>
    <row r="30" spans="4:23">
      <c r="D30" t="s">
        <v>723</v>
      </c>
      <c r="E30">
        <v>35</v>
      </c>
      <c r="O30" t="s">
        <v>2537</v>
      </c>
      <c r="P30" s="132" t="s">
        <v>2538</v>
      </c>
      <c r="Q30" s="132">
        <v>1</v>
      </c>
      <c r="R30" s="133" t="s">
        <v>2539</v>
      </c>
      <c r="S30" t="s">
        <v>139</v>
      </c>
      <c r="T30" t="s">
        <v>2540</v>
      </c>
      <c r="U30" s="134">
        <v>43533</v>
      </c>
      <c r="V30" s="134">
        <v>43540</v>
      </c>
      <c r="W30" t="s">
        <v>476</v>
      </c>
    </row>
    <row r="31" spans="4:23">
      <c r="D31" t="s">
        <v>2541</v>
      </c>
      <c r="E31">
        <v>10</v>
      </c>
      <c r="O31" t="s">
        <v>2542</v>
      </c>
      <c r="P31" s="132" t="s">
        <v>2472</v>
      </c>
      <c r="Q31" s="132">
        <v>4</v>
      </c>
      <c r="R31" s="133" t="s">
        <v>2543</v>
      </c>
      <c r="S31" t="s">
        <v>218</v>
      </c>
      <c r="T31" t="s">
        <v>219</v>
      </c>
      <c r="U31" s="134">
        <v>43533</v>
      </c>
      <c r="V31" s="134">
        <v>43540</v>
      </c>
      <c r="W31" t="s">
        <v>122</v>
      </c>
    </row>
    <row r="32" spans="4:23">
      <c r="D32" s="131" t="s">
        <v>558</v>
      </c>
      <c r="E32" s="131">
        <v>21</v>
      </c>
      <c r="O32" t="s">
        <v>2544</v>
      </c>
      <c r="P32" s="132" t="s">
        <v>2545</v>
      </c>
      <c r="Q32" s="132">
        <v>1</v>
      </c>
      <c r="R32" s="133" t="s">
        <v>2546</v>
      </c>
      <c r="S32" t="s">
        <v>2547</v>
      </c>
      <c r="T32" t="s">
        <v>681</v>
      </c>
      <c r="U32" s="134">
        <v>43534</v>
      </c>
      <c r="V32" s="134">
        <v>43539</v>
      </c>
      <c r="W32" t="s">
        <v>1293</v>
      </c>
    </row>
    <row r="33" spans="3:23">
      <c r="D33" t="s">
        <v>2548</v>
      </c>
      <c r="E33">
        <v>58</v>
      </c>
      <c r="O33" t="s">
        <v>2549</v>
      </c>
      <c r="P33" s="132" t="s">
        <v>2510</v>
      </c>
      <c r="Q33" s="132">
        <v>3</v>
      </c>
      <c r="R33" s="133" t="s">
        <v>2550</v>
      </c>
      <c r="S33" t="s">
        <v>295</v>
      </c>
      <c r="T33" t="s">
        <v>296</v>
      </c>
      <c r="U33" s="134">
        <v>43534</v>
      </c>
      <c r="V33" s="134">
        <v>43539</v>
      </c>
      <c r="W33" t="s">
        <v>2503</v>
      </c>
    </row>
    <row r="34" spans="3:23">
      <c r="D34" t="s">
        <v>2551</v>
      </c>
      <c r="E34">
        <v>50</v>
      </c>
      <c r="O34" t="s">
        <v>2552</v>
      </c>
      <c r="P34" s="132" t="s">
        <v>2522</v>
      </c>
      <c r="Q34" s="132">
        <v>2</v>
      </c>
      <c r="R34" s="133" t="s">
        <v>2553</v>
      </c>
      <c r="S34" t="s">
        <v>2554</v>
      </c>
      <c r="T34" t="s">
        <v>2555</v>
      </c>
      <c r="U34" s="134">
        <v>43540</v>
      </c>
      <c r="V34" s="134">
        <v>43553</v>
      </c>
      <c r="W34" t="s">
        <v>122</v>
      </c>
    </row>
    <row r="35" spans="3:23">
      <c r="D35" s="131" t="s">
        <v>391</v>
      </c>
      <c r="E35" s="131">
        <v>14</v>
      </c>
      <c r="O35" t="s">
        <v>2556</v>
      </c>
      <c r="P35" s="132" t="s">
        <v>2472</v>
      </c>
      <c r="Q35" s="132">
        <v>5</v>
      </c>
      <c r="R35" s="133" t="s">
        <v>2557</v>
      </c>
      <c r="S35" t="s">
        <v>139</v>
      </c>
      <c r="T35" t="s">
        <v>2558</v>
      </c>
      <c r="U35" s="134">
        <v>43540</v>
      </c>
      <c r="V35" s="134">
        <v>43546</v>
      </c>
      <c r="W35" t="s">
        <v>122</v>
      </c>
    </row>
    <row r="36" spans="3:23">
      <c r="D36" t="s">
        <v>2559</v>
      </c>
      <c r="E36">
        <v>51</v>
      </c>
      <c r="O36" t="s">
        <v>2560</v>
      </c>
      <c r="P36" s="132" t="s">
        <v>2561</v>
      </c>
      <c r="Q36" s="132">
        <v>1</v>
      </c>
      <c r="R36" s="133" t="s">
        <v>2562</v>
      </c>
      <c r="S36" t="s">
        <v>2292</v>
      </c>
      <c r="T36" t="s">
        <v>2563</v>
      </c>
      <c r="U36" s="134">
        <v>43541</v>
      </c>
      <c r="V36" s="134">
        <v>43548</v>
      </c>
      <c r="W36" t="s">
        <v>735</v>
      </c>
    </row>
    <row r="37" spans="3:23">
      <c r="D37" t="s">
        <v>2143</v>
      </c>
      <c r="E37">
        <v>33</v>
      </c>
      <c r="O37" t="s">
        <v>2564</v>
      </c>
      <c r="P37" s="132" t="s">
        <v>2561</v>
      </c>
      <c r="Q37" s="132">
        <v>2</v>
      </c>
      <c r="R37" s="133" t="s">
        <v>2565</v>
      </c>
      <c r="S37" t="s">
        <v>2292</v>
      </c>
      <c r="T37" t="s">
        <v>2563</v>
      </c>
      <c r="U37" s="134">
        <v>43541</v>
      </c>
      <c r="V37" s="134">
        <v>43548</v>
      </c>
      <c r="W37" t="s">
        <v>735</v>
      </c>
    </row>
    <row r="38" spans="3:23">
      <c r="D38" s="135" t="s">
        <v>2566</v>
      </c>
      <c r="E38" s="135">
        <v>24</v>
      </c>
      <c r="O38" t="s">
        <v>2567</v>
      </c>
      <c r="P38" s="132" t="s">
        <v>2568</v>
      </c>
      <c r="Q38" s="132">
        <v>1</v>
      </c>
      <c r="R38" s="133" t="s">
        <v>2569</v>
      </c>
      <c r="S38" t="s">
        <v>139</v>
      </c>
      <c r="T38" t="s">
        <v>2570</v>
      </c>
      <c r="U38" s="134">
        <v>43543</v>
      </c>
      <c r="V38" s="134">
        <v>43546</v>
      </c>
      <c r="W38" t="s">
        <v>2157</v>
      </c>
    </row>
    <row r="39" spans="3:23">
      <c r="D39" s="131" t="s">
        <v>122</v>
      </c>
      <c r="E39" s="131">
        <v>1</v>
      </c>
      <c r="O39" t="s">
        <v>2571</v>
      </c>
      <c r="P39" s="132" t="s">
        <v>2572</v>
      </c>
      <c r="Q39" s="132">
        <v>1</v>
      </c>
      <c r="R39" s="133" t="s">
        <v>2573</v>
      </c>
      <c r="S39" t="s">
        <v>2574</v>
      </c>
      <c r="T39" t="s">
        <v>2575</v>
      </c>
      <c r="U39" s="134">
        <v>43547</v>
      </c>
      <c r="V39" s="134">
        <v>43555</v>
      </c>
      <c r="W39" t="s">
        <v>2576</v>
      </c>
    </row>
    <row r="40" spans="3:23">
      <c r="D40" s="131" t="s">
        <v>2503</v>
      </c>
      <c r="E40" s="131">
        <v>2</v>
      </c>
      <c r="O40" t="s">
        <v>2577</v>
      </c>
      <c r="P40" s="132" t="s">
        <v>2578</v>
      </c>
      <c r="Q40" s="132">
        <v>1</v>
      </c>
      <c r="R40" s="133" t="s">
        <v>2579</v>
      </c>
      <c r="S40" t="s">
        <v>218</v>
      </c>
      <c r="T40" t="s">
        <v>219</v>
      </c>
      <c r="U40" s="134">
        <v>43548</v>
      </c>
      <c r="V40" s="134">
        <v>43554</v>
      </c>
      <c r="W40" t="s">
        <v>122</v>
      </c>
    </row>
    <row r="41" spans="3:23">
      <c r="D41" t="s">
        <v>2580</v>
      </c>
      <c r="E41">
        <v>40</v>
      </c>
      <c r="O41" t="s">
        <v>2581</v>
      </c>
      <c r="P41" s="132" t="s">
        <v>2472</v>
      </c>
      <c r="Q41" s="132">
        <v>6</v>
      </c>
      <c r="R41" s="133" t="s">
        <v>2582</v>
      </c>
      <c r="S41" t="s">
        <v>218</v>
      </c>
      <c r="T41" t="s">
        <v>219</v>
      </c>
      <c r="U41" s="134">
        <v>43548</v>
      </c>
      <c r="V41" s="134">
        <v>43554</v>
      </c>
      <c r="W41" t="s">
        <v>122</v>
      </c>
    </row>
    <row r="42" spans="3:23">
      <c r="D42" t="s">
        <v>2583</v>
      </c>
      <c r="E42">
        <v>26</v>
      </c>
      <c r="O42" t="s">
        <v>2584</v>
      </c>
      <c r="P42" s="132" t="s">
        <v>2506</v>
      </c>
      <c r="Q42" s="132">
        <v>2</v>
      </c>
      <c r="R42" s="133" t="s">
        <v>2585</v>
      </c>
      <c r="S42" t="s">
        <v>342</v>
      </c>
      <c r="T42" t="s">
        <v>343</v>
      </c>
      <c r="U42" s="134">
        <v>43548</v>
      </c>
      <c r="V42" s="134">
        <v>43554</v>
      </c>
      <c r="W42" t="s">
        <v>1383</v>
      </c>
    </row>
    <row r="43" spans="3:23">
      <c r="C43" t="s">
        <v>2586</v>
      </c>
      <c r="D43" t="s">
        <v>2587</v>
      </c>
      <c r="E43">
        <v>52</v>
      </c>
      <c r="O43" t="s">
        <v>2588</v>
      </c>
      <c r="P43" s="132" t="s">
        <v>2589</v>
      </c>
      <c r="Q43" s="132">
        <v>1</v>
      </c>
      <c r="R43" s="133" t="s">
        <v>2590</v>
      </c>
      <c r="S43" t="s">
        <v>232</v>
      </c>
      <c r="T43" t="s">
        <v>233</v>
      </c>
      <c r="U43" s="134">
        <v>43549</v>
      </c>
      <c r="V43" s="134">
        <v>43553</v>
      </c>
      <c r="W43" t="s">
        <v>228</v>
      </c>
    </row>
    <row r="44" spans="3:23">
      <c r="D44" t="s">
        <v>1542</v>
      </c>
      <c r="E44">
        <v>19</v>
      </c>
      <c r="O44" t="s">
        <v>2591</v>
      </c>
      <c r="P44" s="132" t="s">
        <v>2592</v>
      </c>
      <c r="Q44" s="132">
        <v>1</v>
      </c>
      <c r="R44" s="133" t="s">
        <v>2593</v>
      </c>
      <c r="S44" t="s">
        <v>2594</v>
      </c>
      <c r="T44" t="s">
        <v>2570</v>
      </c>
      <c r="U44" s="134">
        <v>43550</v>
      </c>
      <c r="V44" s="134">
        <v>43551</v>
      </c>
      <c r="W44" t="s">
        <v>2595</v>
      </c>
    </row>
    <row r="45" spans="3:23">
      <c r="D45" t="s">
        <v>2596</v>
      </c>
      <c r="E45">
        <v>54</v>
      </c>
      <c r="O45" t="s">
        <v>2597</v>
      </c>
      <c r="P45" s="132" t="s">
        <v>2522</v>
      </c>
      <c r="Q45" s="132">
        <v>3</v>
      </c>
      <c r="R45" s="133" t="s">
        <v>2598</v>
      </c>
      <c r="S45" t="s">
        <v>933</v>
      </c>
      <c r="T45" t="s">
        <v>2262</v>
      </c>
      <c r="U45" s="134">
        <v>43550</v>
      </c>
      <c r="V45" s="134">
        <v>43554</v>
      </c>
      <c r="W45" t="s">
        <v>122</v>
      </c>
    </row>
    <row r="46" spans="3:23">
      <c r="D46" t="s">
        <v>2599</v>
      </c>
      <c r="E46">
        <v>27</v>
      </c>
      <c r="O46" t="s">
        <v>2600</v>
      </c>
      <c r="P46" s="132" t="s">
        <v>2601</v>
      </c>
      <c r="Q46" s="132">
        <v>1</v>
      </c>
      <c r="R46" s="133" t="s">
        <v>2602</v>
      </c>
      <c r="S46" t="s">
        <v>1197</v>
      </c>
      <c r="T46" t="s">
        <v>2603</v>
      </c>
      <c r="U46" s="134">
        <v>43553</v>
      </c>
      <c r="V46" s="134">
        <v>43560</v>
      </c>
      <c r="W46" t="s">
        <v>2541</v>
      </c>
    </row>
    <row r="47" spans="3:23">
      <c r="D47" t="s">
        <v>1282</v>
      </c>
      <c r="E47">
        <v>56</v>
      </c>
      <c r="O47" t="s">
        <v>2604</v>
      </c>
      <c r="P47" s="132" t="s">
        <v>2483</v>
      </c>
      <c r="Q47" s="132">
        <v>2</v>
      </c>
      <c r="R47" s="133" t="s">
        <v>2605</v>
      </c>
      <c r="S47" t="s">
        <v>139</v>
      </c>
      <c r="T47" t="s">
        <v>2606</v>
      </c>
      <c r="U47" s="134">
        <v>43554</v>
      </c>
      <c r="V47" s="134">
        <v>43562</v>
      </c>
      <c r="W47" t="s">
        <v>122</v>
      </c>
    </row>
    <row r="48" spans="3:23">
      <c r="D48" t="s">
        <v>2607</v>
      </c>
      <c r="E48">
        <v>64</v>
      </c>
      <c r="O48" t="s">
        <v>2608</v>
      </c>
      <c r="P48" s="132" t="s">
        <v>2578</v>
      </c>
      <c r="Q48" s="132">
        <v>2</v>
      </c>
      <c r="R48" s="133" t="s">
        <v>2609</v>
      </c>
      <c r="S48" t="s">
        <v>2478</v>
      </c>
      <c r="T48" t="s">
        <v>261</v>
      </c>
      <c r="U48" s="134">
        <v>43554</v>
      </c>
      <c r="V48" s="134">
        <v>43560</v>
      </c>
      <c r="W48" t="s">
        <v>122</v>
      </c>
    </row>
    <row r="49" spans="4:23">
      <c r="D49" t="s">
        <v>1044</v>
      </c>
      <c r="E49">
        <v>55</v>
      </c>
      <c r="O49" t="s">
        <v>2610</v>
      </c>
      <c r="P49" s="132" t="s">
        <v>2472</v>
      </c>
      <c r="Q49" s="132">
        <v>7</v>
      </c>
      <c r="R49" s="133" t="s">
        <v>2611</v>
      </c>
      <c r="S49" t="s">
        <v>218</v>
      </c>
      <c r="T49" t="s">
        <v>219</v>
      </c>
      <c r="U49" s="134">
        <v>43554</v>
      </c>
      <c r="V49" s="134">
        <v>43562</v>
      </c>
      <c r="W49" t="s">
        <v>122</v>
      </c>
    </row>
    <row r="50" spans="4:23">
      <c r="D50" t="s">
        <v>2576</v>
      </c>
      <c r="E50">
        <v>43</v>
      </c>
      <c r="O50" t="s">
        <v>2612</v>
      </c>
      <c r="P50" s="132" t="s">
        <v>2431</v>
      </c>
      <c r="Q50" s="132">
        <v>3</v>
      </c>
      <c r="R50" s="133" t="s">
        <v>2613</v>
      </c>
      <c r="S50" t="s">
        <v>253</v>
      </c>
      <c r="T50" t="s">
        <v>254</v>
      </c>
      <c r="U50" s="134">
        <v>43559</v>
      </c>
      <c r="V50" s="134">
        <v>43560</v>
      </c>
      <c r="W50" t="s">
        <v>1113</v>
      </c>
    </row>
    <row r="51" spans="4:23">
      <c r="D51" t="s">
        <v>1973</v>
      </c>
      <c r="E51">
        <v>32</v>
      </c>
      <c r="O51" t="s">
        <v>2614</v>
      </c>
      <c r="P51" s="132" t="s">
        <v>2615</v>
      </c>
      <c r="Q51" s="132">
        <v>1</v>
      </c>
      <c r="R51" s="133" t="s">
        <v>2616</v>
      </c>
      <c r="S51" t="s">
        <v>2617</v>
      </c>
      <c r="T51" t="s">
        <v>2617</v>
      </c>
      <c r="U51" s="134">
        <v>43559</v>
      </c>
      <c r="V51" s="134">
        <v>43566</v>
      </c>
      <c r="W51" t="s">
        <v>871</v>
      </c>
    </row>
    <row r="52" spans="4:23">
      <c r="D52" s="136" t="s">
        <v>2618</v>
      </c>
      <c r="E52">
        <v>31</v>
      </c>
      <c r="O52" t="s">
        <v>2619</v>
      </c>
      <c r="P52" s="132" t="s">
        <v>2578</v>
      </c>
      <c r="Q52" s="132">
        <v>3</v>
      </c>
      <c r="R52" s="133" t="s">
        <v>2620</v>
      </c>
      <c r="S52" t="s">
        <v>218</v>
      </c>
      <c r="T52" t="s">
        <v>219</v>
      </c>
      <c r="U52" s="134">
        <v>43562</v>
      </c>
      <c r="V52" s="134">
        <v>43567</v>
      </c>
      <c r="W52" t="s">
        <v>122</v>
      </c>
    </row>
    <row r="53" spans="4:23">
      <c r="D53" t="s">
        <v>2621</v>
      </c>
      <c r="E53">
        <v>46</v>
      </c>
      <c r="O53" t="s">
        <v>2622</v>
      </c>
      <c r="P53" s="132" t="s">
        <v>2483</v>
      </c>
      <c r="Q53" s="132">
        <v>3</v>
      </c>
      <c r="R53" s="133" t="s">
        <v>2623</v>
      </c>
      <c r="S53" t="s">
        <v>2535</v>
      </c>
      <c r="T53" t="s">
        <v>2536</v>
      </c>
      <c r="U53" s="134">
        <v>43563</v>
      </c>
      <c r="V53" s="134">
        <v>43567</v>
      </c>
      <c r="W53" t="s">
        <v>122</v>
      </c>
    </row>
    <row r="54" spans="4:23">
      <c r="D54" t="s">
        <v>2624</v>
      </c>
      <c r="E54">
        <v>28</v>
      </c>
      <c r="O54" t="s">
        <v>2625</v>
      </c>
      <c r="P54" s="132" t="s">
        <v>2439</v>
      </c>
      <c r="Q54" s="132">
        <v>4</v>
      </c>
      <c r="R54" s="133" t="s">
        <v>2626</v>
      </c>
      <c r="S54" t="s">
        <v>139</v>
      </c>
      <c r="T54" t="s">
        <v>2627</v>
      </c>
      <c r="U54" s="134">
        <v>43564</v>
      </c>
      <c r="V54" s="134">
        <v>43566</v>
      </c>
      <c r="W54" t="s">
        <v>239</v>
      </c>
    </row>
    <row r="55" spans="4:23">
      <c r="D55" s="131" t="s">
        <v>1383</v>
      </c>
      <c r="E55" s="131">
        <v>5</v>
      </c>
      <c r="O55" t="s">
        <v>2628</v>
      </c>
      <c r="P55" s="132" t="s">
        <v>2472</v>
      </c>
      <c r="Q55" s="132">
        <v>8</v>
      </c>
      <c r="R55" s="133" t="s">
        <v>2629</v>
      </c>
      <c r="S55" t="s">
        <v>218</v>
      </c>
      <c r="T55" t="s">
        <v>219</v>
      </c>
      <c r="U55" s="134">
        <v>43565</v>
      </c>
      <c r="V55" s="134">
        <v>43566</v>
      </c>
      <c r="W55" t="s">
        <v>122</v>
      </c>
    </row>
    <row r="56" spans="4:23">
      <c r="D56" t="s">
        <v>2630</v>
      </c>
      <c r="E56">
        <v>67</v>
      </c>
      <c r="O56" t="s">
        <v>2631</v>
      </c>
      <c r="P56" s="132" t="s">
        <v>2439</v>
      </c>
      <c r="Q56" s="132">
        <v>5</v>
      </c>
      <c r="R56" s="133" t="s">
        <v>2632</v>
      </c>
      <c r="S56" t="s">
        <v>139</v>
      </c>
      <c r="T56" t="s">
        <v>2633</v>
      </c>
      <c r="U56" s="134">
        <v>43571</v>
      </c>
      <c r="V56" s="134">
        <v>43573</v>
      </c>
      <c r="W56" t="s">
        <v>239</v>
      </c>
    </row>
    <row r="57" spans="4:23">
      <c r="D57" t="s">
        <v>2634</v>
      </c>
      <c r="E57">
        <v>66</v>
      </c>
      <c r="F57" t="s">
        <v>2635</v>
      </c>
      <c r="O57" t="s">
        <v>2636</v>
      </c>
      <c r="P57" s="132" t="s">
        <v>2510</v>
      </c>
      <c r="Q57" s="132">
        <v>4</v>
      </c>
      <c r="R57" s="133" t="s">
        <v>2637</v>
      </c>
      <c r="S57" t="s">
        <v>295</v>
      </c>
      <c r="T57" t="s">
        <v>296</v>
      </c>
      <c r="U57" s="134">
        <v>43575</v>
      </c>
      <c r="V57" s="134">
        <v>43582</v>
      </c>
      <c r="W57" t="s">
        <v>2503</v>
      </c>
    </row>
    <row r="58" spans="4:23">
      <c r="D58" t="s">
        <v>1412</v>
      </c>
      <c r="E58">
        <v>22</v>
      </c>
      <c r="O58" t="s">
        <v>2638</v>
      </c>
      <c r="P58" s="132" t="s">
        <v>2472</v>
      </c>
      <c r="Q58" s="132">
        <v>9</v>
      </c>
      <c r="R58" s="133" t="s">
        <v>2639</v>
      </c>
      <c r="S58" t="s">
        <v>218</v>
      </c>
      <c r="T58" t="s">
        <v>219</v>
      </c>
      <c r="U58" s="134">
        <v>43576</v>
      </c>
      <c r="V58" s="134">
        <v>43583</v>
      </c>
      <c r="W58" t="s">
        <v>122</v>
      </c>
    </row>
    <row r="59" spans="4:23">
      <c r="D59" s="131" t="s">
        <v>239</v>
      </c>
      <c r="E59" s="131">
        <v>17</v>
      </c>
      <c r="O59" t="s">
        <v>2640</v>
      </c>
      <c r="P59" s="132" t="s">
        <v>2641</v>
      </c>
      <c r="Q59" s="132">
        <v>1</v>
      </c>
      <c r="R59" s="133" t="s">
        <v>2642</v>
      </c>
      <c r="S59" t="s">
        <v>842</v>
      </c>
      <c r="T59" t="s">
        <v>843</v>
      </c>
      <c r="U59" s="134">
        <v>43576</v>
      </c>
      <c r="V59" s="134">
        <v>43583</v>
      </c>
      <c r="W59" t="s">
        <v>135</v>
      </c>
    </row>
    <row r="60" spans="4:23">
      <c r="D60" t="s">
        <v>2446</v>
      </c>
      <c r="E60">
        <v>36</v>
      </c>
      <c r="O60" t="s">
        <v>2643</v>
      </c>
      <c r="P60" s="132" t="s">
        <v>2461</v>
      </c>
      <c r="Q60" s="132">
        <v>2</v>
      </c>
      <c r="R60" s="133" t="s">
        <v>2644</v>
      </c>
      <c r="S60" t="s">
        <v>2501</v>
      </c>
      <c r="T60" t="s">
        <v>2502</v>
      </c>
      <c r="U60" s="134">
        <v>43578</v>
      </c>
      <c r="V60" s="134">
        <v>43581</v>
      </c>
      <c r="W60" t="s">
        <v>192</v>
      </c>
    </row>
    <row r="61" spans="4:23">
      <c r="D61" t="s">
        <v>760</v>
      </c>
      <c r="E61">
        <v>70</v>
      </c>
      <c r="O61" t="s">
        <v>2645</v>
      </c>
      <c r="P61" s="132" t="s">
        <v>2439</v>
      </c>
      <c r="Q61" s="132">
        <v>6</v>
      </c>
      <c r="R61" s="133" t="s">
        <v>2646</v>
      </c>
      <c r="S61" t="s">
        <v>514</v>
      </c>
      <c r="T61" t="s">
        <v>515</v>
      </c>
      <c r="U61" s="134">
        <v>43582</v>
      </c>
      <c r="V61" s="134">
        <v>43590</v>
      </c>
      <c r="W61" t="s">
        <v>239</v>
      </c>
    </row>
    <row r="62" spans="4:23">
      <c r="D62" s="131" t="s">
        <v>2116</v>
      </c>
      <c r="E62" s="131">
        <v>13</v>
      </c>
      <c r="O62" t="s">
        <v>2647</v>
      </c>
      <c r="P62" s="132" t="e">
        <v>#N/A</v>
      </c>
      <c r="Q62" s="132">
        <v>1</v>
      </c>
      <c r="R62" s="133" t="e">
        <v>#N/A</v>
      </c>
      <c r="S62" t="e">
        <v>#N/A</v>
      </c>
      <c r="T62" t="e">
        <v>#N/A</v>
      </c>
      <c r="U62" s="134" t="e">
        <v>#N/A</v>
      </c>
      <c r="V62" s="134" t="e">
        <v>#N/A</v>
      </c>
      <c r="W62" t="e">
        <v>#N/A</v>
      </c>
    </row>
    <row r="63" spans="4:23">
      <c r="D63" s="131" t="s">
        <v>290</v>
      </c>
      <c r="E63" s="131">
        <v>4</v>
      </c>
      <c r="O63" t="s">
        <v>2648</v>
      </c>
      <c r="P63" s="132" t="s">
        <v>2649</v>
      </c>
      <c r="Q63" s="132">
        <v>1</v>
      </c>
      <c r="R63" s="133" t="s">
        <v>2650</v>
      </c>
      <c r="S63" t="s">
        <v>139</v>
      </c>
      <c r="T63" t="s">
        <v>1387</v>
      </c>
      <c r="U63" s="134">
        <v>43583</v>
      </c>
      <c r="V63" s="134">
        <v>43588</v>
      </c>
      <c r="W63" t="s">
        <v>192</v>
      </c>
    </row>
    <row r="64" spans="4:23">
      <c r="D64" s="131" t="s">
        <v>1481</v>
      </c>
      <c r="E64" s="131">
        <v>9</v>
      </c>
      <c r="O64" t="s">
        <v>2651</v>
      </c>
      <c r="P64" s="132" t="s">
        <v>2439</v>
      </c>
      <c r="Q64" s="132">
        <v>7</v>
      </c>
      <c r="R64" s="133" t="s">
        <v>2652</v>
      </c>
      <c r="S64" t="s">
        <v>139</v>
      </c>
      <c r="T64" t="s">
        <v>2653</v>
      </c>
      <c r="U64" s="134">
        <v>43585</v>
      </c>
      <c r="V64" s="134">
        <v>43587</v>
      </c>
      <c r="W64" t="s">
        <v>239</v>
      </c>
    </row>
    <row r="65" spans="3:23">
      <c r="D65" s="131" t="s">
        <v>1621</v>
      </c>
      <c r="E65" s="131">
        <v>37</v>
      </c>
      <c r="O65" t="s">
        <v>2654</v>
      </c>
      <c r="P65" s="132" t="s">
        <v>2655</v>
      </c>
      <c r="Q65" s="132">
        <v>1</v>
      </c>
      <c r="R65" s="133" t="s">
        <v>2656</v>
      </c>
      <c r="S65" t="s">
        <v>2657</v>
      </c>
      <c r="T65" t="s">
        <v>2658</v>
      </c>
      <c r="U65" s="134">
        <v>43587</v>
      </c>
      <c r="V65" s="134">
        <v>43596</v>
      </c>
      <c r="W65" t="s">
        <v>2116</v>
      </c>
    </row>
    <row r="66" spans="3:23">
      <c r="D66" t="s">
        <v>2659</v>
      </c>
      <c r="E66">
        <v>29</v>
      </c>
      <c r="O66" t="s">
        <v>2660</v>
      </c>
      <c r="P66" s="132" t="s">
        <v>2661</v>
      </c>
      <c r="Q66" s="132">
        <v>1</v>
      </c>
      <c r="R66" s="133" t="s">
        <v>2662</v>
      </c>
      <c r="S66" t="s">
        <v>218</v>
      </c>
      <c r="T66" t="s">
        <v>2663</v>
      </c>
      <c r="U66" s="134">
        <v>43589</v>
      </c>
      <c r="V66" s="134">
        <v>43596</v>
      </c>
      <c r="W66" t="s">
        <v>1542</v>
      </c>
    </row>
    <row r="67" spans="3:23">
      <c r="D67" t="s">
        <v>2664</v>
      </c>
      <c r="E67">
        <v>45</v>
      </c>
      <c r="O67" t="s">
        <v>2665</v>
      </c>
      <c r="P67" s="132" t="s">
        <v>2472</v>
      </c>
      <c r="Q67" s="132">
        <v>10</v>
      </c>
      <c r="R67" s="133" t="s">
        <v>2666</v>
      </c>
      <c r="S67" t="s">
        <v>218</v>
      </c>
      <c r="T67" t="s">
        <v>219</v>
      </c>
      <c r="U67" s="134">
        <v>43589</v>
      </c>
      <c r="V67" s="134">
        <v>43596</v>
      </c>
      <c r="W67" t="s">
        <v>122</v>
      </c>
    </row>
    <row r="68" spans="3:23">
      <c r="D68" t="s">
        <v>2667</v>
      </c>
      <c r="E68">
        <v>59</v>
      </c>
      <c r="O68" t="s">
        <v>2668</v>
      </c>
      <c r="P68" s="132" t="s">
        <v>2439</v>
      </c>
      <c r="Q68" s="132">
        <v>8</v>
      </c>
      <c r="R68" s="133" t="s">
        <v>2669</v>
      </c>
      <c r="S68" t="s">
        <v>218</v>
      </c>
      <c r="T68" t="s">
        <v>2663</v>
      </c>
      <c r="U68" s="134">
        <v>43590</v>
      </c>
      <c r="V68" s="134">
        <v>43593</v>
      </c>
      <c r="W68" t="s">
        <v>239</v>
      </c>
    </row>
    <row r="69" spans="3:23">
      <c r="D69" t="s">
        <v>713</v>
      </c>
      <c r="E69">
        <v>49</v>
      </c>
      <c r="O69" t="s">
        <v>2670</v>
      </c>
      <c r="P69" s="132" t="s">
        <v>2439</v>
      </c>
      <c r="Q69" s="132">
        <v>9</v>
      </c>
      <c r="R69" s="133" t="s">
        <v>2671</v>
      </c>
      <c r="S69" t="s">
        <v>139</v>
      </c>
      <c r="T69" t="s">
        <v>2672</v>
      </c>
      <c r="U69" s="134">
        <v>43591</v>
      </c>
      <c r="V69" s="134">
        <v>43594</v>
      </c>
      <c r="W69" t="s">
        <v>239</v>
      </c>
    </row>
    <row r="70" spans="3:23">
      <c r="D70" t="s">
        <v>2673</v>
      </c>
      <c r="E70">
        <v>39</v>
      </c>
      <c r="O70" t="s">
        <v>2674</v>
      </c>
      <c r="P70" s="132" t="e">
        <v>#N/A</v>
      </c>
      <c r="Q70" s="132">
        <v>2</v>
      </c>
      <c r="R70" s="133" t="e">
        <v>#N/A</v>
      </c>
      <c r="S70" t="e">
        <v>#N/A</v>
      </c>
      <c r="T70" t="e">
        <v>#N/A</v>
      </c>
      <c r="U70" s="134" t="e">
        <v>#N/A</v>
      </c>
      <c r="V70" s="134" t="e">
        <v>#N/A</v>
      </c>
      <c r="W70" t="e">
        <v>#N/A</v>
      </c>
    </row>
    <row r="71" spans="3:23">
      <c r="D71" t="s">
        <v>2000</v>
      </c>
      <c r="E71">
        <v>63</v>
      </c>
      <c r="O71" t="s">
        <v>2675</v>
      </c>
      <c r="P71" s="132" t="s">
        <v>2676</v>
      </c>
      <c r="Q71" s="132">
        <v>1</v>
      </c>
      <c r="R71" s="133" t="s">
        <v>2677</v>
      </c>
      <c r="S71" t="s">
        <v>842</v>
      </c>
      <c r="T71" t="s">
        <v>843</v>
      </c>
      <c r="U71" s="134">
        <v>43597</v>
      </c>
      <c r="V71" s="134">
        <v>43601</v>
      </c>
      <c r="W71" t="s">
        <v>2524</v>
      </c>
    </row>
    <row r="72" spans="3:23">
      <c r="D72" s="131"/>
      <c r="E72" s="131"/>
      <c r="O72" t="s">
        <v>2678</v>
      </c>
      <c r="P72" s="132" t="s">
        <v>2679</v>
      </c>
      <c r="Q72" s="132">
        <v>1</v>
      </c>
      <c r="R72" s="133" t="s">
        <v>2680</v>
      </c>
      <c r="S72" t="s">
        <v>139</v>
      </c>
      <c r="T72" t="s">
        <v>2681</v>
      </c>
      <c r="U72" s="134">
        <v>43597</v>
      </c>
      <c r="V72" s="134">
        <v>43601</v>
      </c>
      <c r="W72" t="s">
        <v>558</v>
      </c>
    </row>
    <row r="73" spans="3:23">
      <c r="O73" t="s">
        <v>2682</v>
      </c>
      <c r="P73" s="132" t="s">
        <v>2522</v>
      </c>
      <c r="Q73" s="132">
        <v>4</v>
      </c>
      <c r="R73" s="133" t="s">
        <v>2683</v>
      </c>
      <c r="S73" t="s">
        <v>218</v>
      </c>
      <c r="T73" t="s">
        <v>219</v>
      </c>
      <c r="U73" s="134">
        <v>43598</v>
      </c>
      <c r="V73" s="134">
        <v>43602</v>
      </c>
      <c r="W73" t="s">
        <v>122</v>
      </c>
    </row>
    <row r="74" spans="3:23">
      <c r="C74" s="29" t="str">
        <f>_xlfn.CONCAT("2025PAI",TEXT(H16,"00"),I16)</f>
        <v>2025PAI04SAFE</v>
      </c>
      <c r="O74" t="s">
        <v>2684</v>
      </c>
      <c r="P74" s="132" t="s">
        <v>2483</v>
      </c>
      <c r="Q74" s="132">
        <v>4</v>
      </c>
      <c r="R74" s="133" t="s">
        <v>2685</v>
      </c>
      <c r="S74" t="s">
        <v>218</v>
      </c>
      <c r="T74" t="s">
        <v>2686</v>
      </c>
      <c r="U74" s="134">
        <v>43599</v>
      </c>
      <c r="V74" s="134">
        <v>43601</v>
      </c>
      <c r="W74" t="s">
        <v>122</v>
      </c>
    </row>
    <row r="75" spans="3:23">
      <c r="O75" t="s">
        <v>2687</v>
      </c>
      <c r="P75" s="132" t="s">
        <v>2688</v>
      </c>
      <c r="Q75" s="132">
        <v>1</v>
      </c>
      <c r="R75" s="133" t="s">
        <v>2689</v>
      </c>
      <c r="S75" t="s">
        <v>1574</v>
      </c>
      <c r="T75" t="s">
        <v>1574</v>
      </c>
      <c r="U75" s="134">
        <v>43599</v>
      </c>
      <c r="V75" s="134">
        <v>43600</v>
      </c>
      <c r="W75" t="s">
        <v>1412</v>
      </c>
    </row>
    <row r="76" spans="3:23">
      <c r="O76" t="s">
        <v>2690</v>
      </c>
      <c r="P76" s="132" t="s">
        <v>2439</v>
      </c>
      <c r="Q76" s="132">
        <v>10</v>
      </c>
      <c r="R76" s="133" t="s">
        <v>2691</v>
      </c>
      <c r="S76" t="s">
        <v>139</v>
      </c>
      <c r="T76" t="s">
        <v>2692</v>
      </c>
      <c r="U76" s="134">
        <v>43599</v>
      </c>
      <c r="V76" s="134">
        <v>43601</v>
      </c>
      <c r="W76" t="s">
        <v>239</v>
      </c>
    </row>
    <row r="77" spans="3:23">
      <c r="O77" t="s">
        <v>2693</v>
      </c>
      <c r="P77" s="132" t="e">
        <v>#N/A</v>
      </c>
      <c r="Q77" s="132">
        <v>3</v>
      </c>
      <c r="R77" s="133" t="e">
        <v>#N/A</v>
      </c>
      <c r="S77" t="e">
        <v>#N/A</v>
      </c>
      <c r="T77" t="e">
        <v>#N/A</v>
      </c>
      <c r="U77" s="134" t="e">
        <v>#N/A</v>
      </c>
      <c r="V77" s="134" t="e">
        <v>#N/A</v>
      </c>
      <c r="W77" t="e">
        <v>#N/A</v>
      </c>
    </row>
    <row r="78" spans="3:23">
      <c r="O78" t="s">
        <v>2694</v>
      </c>
      <c r="P78" s="132" t="s">
        <v>2439</v>
      </c>
      <c r="Q78" s="132">
        <v>11</v>
      </c>
      <c r="R78" s="133" t="s">
        <v>2695</v>
      </c>
      <c r="S78" t="s">
        <v>139</v>
      </c>
      <c r="T78" t="s">
        <v>2696</v>
      </c>
      <c r="U78" s="134">
        <v>43600</v>
      </c>
      <c r="V78" s="134">
        <v>43602</v>
      </c>
      <c r="W78" t="s">
        <v>239</v>
      </c>
    </row>
    <row r="79" spans="3:23">
      <c r="O79" t="s">
        <v>2697</v>
      </c>
      <c r="P79" s="132" t="s">
        <v>2698</v>
      </c>
      <c r="Q79" s="132">
        <v>1</v>
      </c>
      <c r="R79" s="133" t="s">
        <v>2699</v>
      </c>
      <c r="S79" t="s">
        <v>218</v>
      </c>
      <c r="T79" t="s">
        <v>219</v>
      </c>
      <c r="U79" s="134">
        <v>43604</v>
      </c>
      <c r="V79" s="134">
        <v>43611</v>
      </c>
      <c r="W79" t="s">
        <v>122</v>
      </c>
    </row>
    <row r="80" spans="3:23">
      <c r="O80" t="s">
        <v>2700</v>
      </c>
      <c r="P80" s="132" t="s">
        <v>2698</v>
      </c>
      <c r="Q80" s="132">
        <v>2</v>
      </c>
      <c r="R80" s="133" t="s">
        <v>2701</v>
      </c>
      <c r="S80" t="s">
        <v>218</v>
      </c>
      <c r="T80" t="s">
        <v>219</v>
      </c>
      <c r="U80" s="134">
        <v>43604</v>
      </c>
      <c r="V80" s="134">
        <v>43611</v>
      </c>
      <c r="W80" t="s">
        <v>122</v>
      </c>
    </row>
    <row r="81" spans="15:23">
      <c r="O81" t="s">
        <v>2702</v>
      </c>
      <c r="P81" s="132" t="s">
        <v>2496</v>
      </c>
      <c r="Q81" s="132">
        <v>2</v>
      </c>
      <c r="R81" s="133" t="s">
        <v>2703</v>
      </c>
      <c r="S81" t="s">
        <v>2704</v>
      </c>
      <c r="T81" t="s">
        <v>2458</v>
      </c>
      <c r="U81" s="134">
        <v>43605</v>
      </c>
      <c r="V81" s="134">
        <v>43609</v>
      </c>
      <c r="W81" t="s">
        <v>290</v>
      </c>
    </row>
    <row r="82" spans="15:23">
      <c r="O82" t="s">
        <v>2705</v>
      </c>
      <c r="P82" s="132" t="s">
        <v>2496</v>
      </c>
      <c r="Q82" s="132">
        <v>3</v>
      </c>
      <c r="R82" s="133" t="s">
        <v>2706</v>
      </c>
      <c r="S82" t="s">
        <v>295</v>
      </c>
      <c r="T82" t="s">
        <v>296</v>
      </c>
      <c r="U82" s="134">
        <v>43605</v>
      </c>
      <c r="V82" s="134">
        <v>43609</v>
      </c>
      <c r="W82" t="s">
        <v>290</v>
      </c>
    </row>
    <row r="83" spans="15:23">
      <c r="O83" t="s">
        <v>2707</v>
      </c>
      <c r="P83" s="132" t="s">
        <v>2466</v>
      </c>
      <c r="Q83" s="132">
        <v>2</v>
      </c>
      <c r="R83" s="133" t="s">
        <v>2708</v>
      </c>
      <c r="S83" t="s">
        <v>232</v>
      </c>
      <c r="T83" t="s">
        <v>233</v>
      </c>
      <c r="U83" s="134">
        <v>43608</v>
      </c>
      <c r="V83" s="134">
        <v>43609</v>
      </c>
      <c r="W83" t="s">
        <v>228</v>
      </c>
    </row>
    <row r="84" spans="15:23">
      <c r="O84" t="s">
        <v>2709</v>
      </c>
      <c r="P84" s="132" t="s">
        <v>2538</v>
      </c>
      <c r="Q84" s="132">
        <v>2</v>
      </c>
      <c r="R84" s="133" t="s">
        <v>2710</v>
      </c>
      <c r="S84" t="s">
        <v>232</v>
      </c>
      <c r="T84" t="s">
        <v>233</v>
      </c>
      <c r="U84" s="134">
        <v>43617</v>
      </c>
      <c r="V84" s="134">
        <v>43624</v>
      </c>
      <c r="W84" t="s">
        <v>476</v>
      </c>
    </row>
    <row r="85" spans="15:23">
      <c r="O85" t="s">
        <v>2711</v>
      </c>
      <c r="P85" s="132" t="s">
        <v>2712</v>
      </c>
      <c r="Q85" s="132">
        <v>1</v>
      </c>
      <c r="R85" s="133" t="s">
        <v>2713</v>
      </c>
      <c r="S85" t="s">
        <v>2574</v>
      </c>
      <c r="T85" t="s">
        <v>2714</v>
      </c>
      <c r="U85" s="134">
        <v>43618</v>
      </c>
      <c r="V85" s="134">
        <v>43623</v>
      </c>
      <c r="W85" t="s">
        <v>2566</v>
      </c>
    </row>
    <row r="86" spans="15:23">
      <c r="O86" t="s">
        <v>2715</v>
      </c>
      <c r="P86" s="132" t="s">
        <v>2716</v>
      </c>
      <c r="Q86" s="132">
        <v>1</v>
      </c>
      <c r="R86" s="133" t="s">
        <v>2717</v>
      </c>
      <c r="S86" t="s">
        <v>1984</v>
      </c>
      <c r="T86" t="s">
        <v>2233</v>
      </c>
      <c r="U86" s="134">
        <v>43620</v>
      </c>
      <c r="V86" s="134">
        <v>43622</v>
      </c>
      <c r="W86" t="s">
        <v>2718</v>
      </c>
    </row>
    <row r="87" spans="15:23">
      <c r="O87" t="s">
        <v>2719</v>
      </c>
      <c r="P87" s="132" t="s">
        <v>2513</v>
      </c>
      <c r="Q87" s="132">
        <v>4</v>
      </c>
      <c r="R87" s="133" t="s">
        <v>2720</v>
      </c>
      <c r="S87" t="s">
        <v>2721</v>
      </c>
      <c r="T87" t="s">
        <v>1574</v>
      </c>
      <c r="U87" s="134">
        <v>43621</v>
      </c>
      <c r="V87" s="134">
        <v>43624</v>
      </c>
      <c r="W87" t="s">
        <v>476</v>
      </c>
    </row>
    <row r="88" spans="15:23">
      <c r="O88" t="s">
        <v>2722</v>
      </c>
      <c r="P88" s="132" t="s">
        <v>2513</v>
      </c>
      <c r="Q88" s="132">
        <v>5</v>
      </c>
      <c r="R88" s="133" t="s">
        <v>2723</v>
      </c>
      <c r="S88" t="s">
        <v>139</v>
      </c>
      <c r="T88" t="s">
        <v>2540</v>
      </c>
      <c r="U88" s="134">
        <v>43626</v>
      </c>
      <c r="V88" s="134">
        <v>43630</v>
      </c>
      <c r="W88" t="s">
        <v>476</v>
      </c>
    </row>
    <row r="89" spans="15:23">
      <c r="O89" t="s">
        <v>2724</v>
      </c>
      <c r="P89" s="132" t="s">
        <v>2513</v>
      </c>
      <c r="Q89" s="132">
        <v>6</v>
      </c>
      <c r="R89" s="133" t="s">
        <v>2725</v>
      </c>
      <c r="S89" t="s">
        <v>139</v>
      </c>
      <c r="T89" t="s">
        <v>1574</v>
      </c>
      <c r="U89" s="134">
        <v>43627</v>
      </c>
      <c r="V89" s="134">
        <v>43629</v>
      </c>
      <c r="W89" t="s">
        <v>476</v>
      </c>
    </row>
    <row r="90" spans="15:23">
      <c r="O90" t="s">
        <v>2726</v>
      </c>
      <c r="P90" s="132" t="s">
        <v>2727</v>
      </c>
      <c r="Q90" s="132">
        <v>1</v>
      </c>
      <c r="R90" s="133" t="s">
        <v>2728</v>
      </c>
      <c r="S90" t="s">
        <v>139</v>
      </c>
      <c r="T90" t="s">
        <v>2540</v>
      </c>
      <c r="U90" s="134">
        <v>43628</v>
      </c>
      <c r="V90" s="134">
        <v>43630</v>
      </c>
      <c r="W90" t="s">
        <v>2529</v>
      </c>
    </row>
    <row r="91" spans="15:23">
      <c r="O91" t="s">
        <v>2729</v>
      </c>
      <c r="P91" s="132" t="s">
        <v>2439</v>
      </c>
      <c r="Q91" s="132">
        <v>12</v>
      </c>
      <c r="R91" s="133" t="s">
        <v>2730</v>
      </c>
      <c r="S91" t="s">
        <v>139</v>
      </c>
      <c r="T91" t="s">
        <v>2731</v>
      </c>
      <c r="U91" s="134">
        <v>43629</v>
      </c>
      <c r="V91" s="134">
        <v>43633</v>
      </c>
      <c r="W91" t="s">
        <v>239</v>
      </c>
    </row>
    <row r="92" spans="15:23">
      <c r="O92" t="s">
        <v>2732</v>
      </c>
      <c r="P92" s="132" t="s">
        <v>2472</v>
      </c>
      <c r="Q92" s="132">
        <v>11</v>
      </c>
      <c r="R92" s="133" t="s">
        <v>2733</v>
      </c>
      <c r="S92" t="s">
        <v>218</v>
      </c>
      <c r="T92" t="s">
        <v>219</v>
      </c>
      <c r="U92" s="134">
        <v>43633</v>
      </c>
      <c r="V92" s="134">
        <v>43637</v>
      </c>
      <c r="W92" t="s">
        <v>122</v>
      </c>
    </row>
    <row r="93" spans="15:23">
      <c r="O93" t="s">
        <v>2734</v>
      </c>
      <c r="P93" s="132" t="s">
        <v>2431</v>
      </c>
      <c r="Q93" s="132">
        <v>4</v>
      </c>
      <c r="R93" s="133" t="s">
        <v>2735</v>
      </c>
      <c r="S93" t="s">
        <v>764</v>
      </c>
      <c r="T93" t="s">
        <v>113</v>
      </c>
      <c r="U93" s="134">
        <v>43633</v>
      </c>
      <c r="V93" s="134">
        <v>43639</v>
      </c>
      <c r="W93" t="s">
        <v>1113</v>
      </c>
    </row>
    <row r="94" spans="15:23">
      <c r="O94" t="s">
        <v>2736</v>
      </c>
      <c r="P94" s="132" t="s">
        <v>2522</v>
      </c>
      <c r="Q94" s="132">
        <v>5</v>
      </c>
      <c r="R94" s="133" t="s">
        <v>2737</v>
      </c>
      <c r="S94" t="s">
        <v>218</v>
      </c>
      <c r="T94" t="s">
        <v>219</v>
      </c>
      <c r="U94" s="134">
        <v>43639</v>
      </c>
      <c r="V94" s="134">
        <v>43646</v>
      </c>
      <c r="W94" t="s">
        <v>122</v>
      </c>
    </row>
    <row r="95" spans="15:23">
      <c r="O95" t="s">
        <v>2738</v>
      </c>
      <c r="P95" s="132" t="e">
        <v>#N/A</v>
      </c>
      <c r="Q95" s="132">
        <v>4</v>
      </c>
      <c r="R95" s="133" t="e">
        <v>#N/A</v>
      </c>
      <c r="S95" t="e">
        <v>#N/A</v>
      </c>
      <c r="T95" t="e">
        <v>#N/A</v>
      </c>
      <c r="U95" s="134" t="e">
        <v>#N/A</v>
      </c>
      <c r="V95" s="134" t="e">
        <v>#N/A</v>
      </c>
      <c r="W95" t="e">
        <v>#N/A</v>
      </c>
    </row>
    <row r="96" spans="15:23">
      <c r="O96" t="s">
        <v>2739</v>
      </c>
      <c r="P96" s="132" t="s">
        <v>2472</v>
      </c>
      <c r="Q96" s="132">
        <v>12</v>
      </c>
      <c r="R96" s="133" t="s">
        <v>2740</v>
      </c>
      <c r="S96" t="s">
        <v>218</v>
      </c>
      <c r="T96" t="s">
        <v>219</v>
      </c>
      <c r="U96" s="134">
        <v>43661</v>
      </c>
      <c r="V96" s="134">
        <v>43665</v>
      </c>
      <c r="W96" t="s">
        <v>122</v>
      </c>
    </row>
    <row r="97" spans="15:23">
      <c r="O97" t="s">
        <v>2741</v>
      </c>
      <c r="P97" s="132" t="s">
        <v>2439</v>
      </c>
      <c r="Q97" s="132">
        <v>13</v>
      </c>
      <c r="R97" s="133" t="s">
        <v>2742</v>
      </c>
      <c r="S97" t="s">
        <v>139</v>
      </c>
      <c r="T97" t="s">
        <v>2743</v>
      </c>
      <c r="U97" s="134">
        <v>43661</v>
      </c>
      <c r="V97" s="134">
        <v>43665</v>
      </c>
      <c r="W97" t="s">
        <v>239</v>
      </c>
    </row>
    <row r="98" spans="15:23">
      <c r="O98" t="s">
        <v>2744</v>
      </c>
      <c r="P98" s="132" t="s">
        <v>2561</v>
      </c>
      <c r="Q98" s="132">
        <v>3</v>
      </c>
      <c r="R98" s="133" t="s">
        <v>2745</v>
      </c>
      <c r="S98" t="s">
        <v>295</v>
      </c>
      <c r="T98" t="s">
        <v>296</v>
      </c>
      <c r="U98" s="134">
        <v>43661</v>
      </c>
      <c r="V98" s="134">
        <v>43663</v>
      </c>
      <c r="W98" t="s">
        <v>735</v>
      </c>
    </row>
    <row r="99" spans="15:23">
      <c r="O99" t="s">
        <v>2746</v>
      </c>
      <c r="P99" s="132" t="s">
        <v>2561</v>
      </c>
      <c r="Q99" s="132">
        <v>4</v>
      </c>
      <c r="R99" s="133" t="s">
        <v>2747</v>
      </c>
      <c r="S99" t="s">
        <v>295</v>
      </c>
      <c r="T99" t="s">
        <v>296</v>
      </c>
      <c r="U99" s="134">
        <v>43664</v>
      </c>
      <c r="V99" s="134">
        <v>43665</v>
      </c>
      <c r="W99" t="s">
        <v>735</v>
      </c>
    </row>
    <row r="100" spans="15:23">
      <c r="O100" t="s">
        <v>2748</v>
      </c>
      <c r="P100" s="132" t="s">
        <v>2513</v>
      </c>
      <c r="Q100" s="132">
        <v>7</v>
      </c>
      <c r="R100" s="133" t="s">
        <v>2749</v>
      </c>
      <c r="S100" t="s">
        <v>139</v>
      </c>
      <c r="T100" t="s">
        <v>2540</v>
      </c>
      <c r="U100" s="134">
        <v>43682</v>
      </c>
      <c r="V100" s="134">
        <v>43686</v>
      </c>
      <c r="W100" t="s">
        <v>476</v>
      </c>
    </row>
    <row r="101" spans="15:23">
      <c r="O101" t="s">
        <v>2750</v>
      </c>
      <c r="P101" s="132" t="s">
        <v>2496</v>
      </c>
      <c r="Q101" s="132">
        <v>4</v>
      </c>
      <c r="R101" s="133" t="s">
        <v>2751</v>
      </c>
      <c r="S101" t="s">
        <v>295</v>
      </c>
      <c r="T101" t="s">
        <v>296</v>
      </c>
      <c r="U101" s="134">
        <v>43693</v>
      </c>
      <c r="V101" s="134">
        <v>43694</v>
      </c>
      <c r="W101" t="s">
        <v>290</v>
      </c>
    </row>
    <row r="102" spans="15:23">
      <c r="O102" t="s">
        <v>2752</v>
      </c>
      <c r="P102" s="132" t="s">
        <v>2496</v>
      </c>
      <c r="Q102" s="132">
        <v>5</v>
      </c>
      <c r="R102" s="133" t="s">
        <v>2753</v>
      </c>
      <c r="S102" t="s">
        <v>295</v>
      </c>
      <c r="T102" t="s">
        <v>296</v>
      </c>
      <c r="U102" s="134">
        <v>43693</v>
      </c>
      <c r="V102" s="134">
        <v>43694</v>
      </c>
      <c r="W102" t="s">
        <v>290</v>
      </c>
    </row>
    <row r="103" spans="15:23">
      <c r="O103" t="s">
        <v>2754</v>
      </c>
      <c r="P103" s="132" t="s">
        <v>2513</v>
      </c>
      <c r="Q103" s="132">
        <v>8</v>
      </c>
      <c r="R103" s="133" t="s">
        <v>2755</v>
      </c>
      <c r="S103" t="s">
        <v>139</v>
      </c>
      <c r="T103" t="s">
        <v>2756</v>
      </c>
      <c r="U103" s="134">
        <v>43707</v>
      </c>
      <c r="V103" s="134">
        <v>43709</v>
      </c>
      <c r="W103" t="s">
        <v>476</v>
      </c>
    </row>
    <row r="104" spans="15:23">
      <c r="O104" t="s">
        <v>2757</v>
      </c>
      <c r="P104" s="132" t="s">
        <v>2522</v>
      </c>
      <c r="Q104" s="132">
        <v>6</v>
      </c>
      <c r="R104" s="133" t="s">
        <v>2758</v>
      </c>
      <c r="S104" t="s">
        <v>218</v>
      </c>
      <c r="T104" t="s">
        <v>219</v>
      </c>
      <c r="U104" s="134">
        <v>43712</v>
      </c>
      <c r="V104" s="134">
        <v>43714</v>
      </c>
      <c r="W104" t="s">
        <v>122</v>
      </c>
    </row>
    <row r="105" spans="15:23">
      <c r="O105" t="s">
        <v>2759</v>
      </c>
      <c r="P105" s="132" t="s">
        <v>2513</v>
      </c>
      <c r="Q105" s="132">
        <v>9</v>
      </c>
      <c r="R105" s="133" t="s">
        <v>2760</v>
      </c>
      <c r="S105" t="s">
        <v>2761</v>
      </c>
      <c r="T105" t="s">
        <v>2762</v>
      </c>
      <c r="U105" s="134">
        <v>43717</v>
      </c>
      <c r="V105" s="134">
        <v>43721</v>
      </c>
      <c r="W105" t="s">
        <v>476</v>
      </c>
    </row>
    <row r="106" spans="15:23">
      <c r="O106" t="s">
        <v>2763</v>
      </c>
      <c r="P106" s="132" t="s">
        <v>2764</v>
      </c>
      <c r="Q106" s="132">
        <v>1</v>
      </c>
      <c r="R106" s="133" t="s">
        <v>2765</v>
      </c>
      <c r="S106" t="s">
        <v>139</v>
      </c>
      <c r="T106" t="s">
        <v>1574</v>
      </c>
      <c r="U106" s="134">
        <v>43718</v>
      </c>
      <c r="V106" s="134">
        <v>43720</v>
      </c>
      <c r="W106" t="s">
        <v>2766</v>
      </c>
    </row>
    <row r="107" spans="15:23">
      <c r="O107" t="s">
        <v>2767</v>
      </c>
      <c r="P107" s="132" t="s">
        <v>2561</v>
      </c>
      <c r="Q107" s="132">
        <v>5</v>
      </c>
      <c r="R107" s="133" t="s">
        <v>2768</v>
      </c>
      <c r="S107" t="s">
        <v>253</v>
      </c>
      <c r="T107" t="s">
        <v>254</v>
      </c>
      <c r="U107" s="134">
        <v>43720</v>
      </c>
      <c r="V107" s="134">
        <v>43721</v>
      </c>
      <c r="W107" t="s">
        <v>735</v>
      </c>
    </row>
    <row r="108" spans="15:23">
      <c r="O108" t="s">
        <v>2769</v>
      </c>
      <c r="P108" s="132" t="s">
        <v>2439</v>
      </c>
      <c r="Q108" s="132">
        <v>14</v>
      </c>
      <c r="R108" s="133" t="s">
        <v>2770</v>
      </c>
      <c r="S108" t="s">
        <v>139</v>
      </c>
      <c r="T108" t="s">
        <v>2771</v>
      </c>
      <c r="U108" s="134">
        <v>43724</v>
      </c>
      <c r="V108" s="134">
        <v>43726</v>
      </c>
      <c r="W108" t="s">
        <v>239</v>
      </c>
    </row>
    <row r="109" spans="15:23">
      <c r="O109" t="s">
        <v>2772</v>
      </c>
      <c r="P109" s="132" t="s">
        <v>2578</v>
      </c>
      <c r="Q109" s="132">
        <v>4</v>
      </c>
      <c r="R109" s="133" t="s">
        <v>2773</v>
      </c>
      <c r="S109" t="s">
        <v>218</v>
      </c>
      <c r="T109" t="s">
        <v>219</v>
      </c>
      <c r="U109" s="134">
        <v>43725</v>
      </c>
      <c r="V109" s="134">
        <v>43727</v>
      </c>
      <c r="W109" t="s">
        <v>122</v>
      </c>
    </row>
    <row r="110" spans="15:23">
      <c r="O110" t="s">
        <v>2774</v>
      </c>
      <c r="P110" s="132" t="s">
        <v>2513</v>
      </c>
      <c r="Q110" s="132">
        <v>10</v>
      </c>
      <c r="R110" s="133" t="s">
        <v>2775</v>
      </c>
      <c r="S110" t="s">
        <v>1574</v>
      </c>
      <c r="T110" t="s">
        <v>1574</v>
      </c>
      <c r="U110" s="134">
        <v>43725</v>
      </c>
      <c r="V110" s="134">
        <v>43727</v>
      </c>
      <c r="W110" t="s">
        <v>476</v>
      </c>
    </row>
    <row r="111" spans="15:23">
      <c r="O111" t="s">
        <v>2776</v>
      </c>
      <c r="P111" s="132" t="s">
        <v>2777</v>
      </c>
      <c r="Q111" s="132">
        <v>1</v>
      </c>
      <c r="R111" s="133" t="s">
        <v>2778</v>
      </c>
      <c r="S111" t="s">
        <v>218</v>
      </c>
      <c r="T111" t="s">
        <v>219</v>
      </c>
      <c r="U111" s="134">
        <v>43732</v>
      </c>
      <c r="V111" s="134">
        <v>43742</v>
      </c>
      <c r="W111" t="s">
        <v>122</v>
      </c>
    </row>
    <row r="112" spans="15:23">
      <c r="O112" t="s">
        <v>2779</v>
      </c>
      <c r="P112" s="132" t="s">
        <v>2439</v>
      </c>
      <c r="Q112" s="132">
        <v>15</v>
      </c>
      <c r="R112" s="133" t="s">
        <v>2780</v>
      </c>
      <c r="S112" t="s">
        <v>139</v>
      </c>
      <c r="T112" t="s">
        <v>242</v>
      </c>
      <c r="U112" s="134">
        <v>43732</v>
      </c>
      <c r="V112" s="134">
        <v>43734</v>
      </c>
      <c r="W112" t="s">
        <v>239</v>
      </c>
    </row>
    <row r="113" spans="15:23">
      <c r="O113" t="s">
        <v>2781</v>
      </c>
      <c r="P113" s="132" t="s">
        <v>2466</v>
      </c>
      <c r="Q113" s="132">
        <v>3</v>
      </c>
      <c r="R113" s="133" t="s">
        <v>2782</v>
      </c>
      <c r="S113" t="s">
        <v>232</v>
      </c>
      <c r="T113" t="s">
        <v>233</v>
      </c>
      <c r="U113" s="134">
        <v>43733</v>
      </c>
      <c r="V113" s="134">
        <v>43734</v>
      </c>
      <c r="W113" t="s">
        <v>228</v>
      </c>
    </row>
    <row r="114" spans="15:23">
      <c r="O114" t="s">
        <v>2783</v>
      </c>
      <c r="P114" s="132" t="s">
        <v>2439</v>
      </c>
      <c r="Q114" s="132">
        <v>16</v>
      </c>
      <c r="R114" s="133" t="s">
        <v>2784</v>
      </c>
      <c r="S114" t="s">
        <v>139</v>
      </c>
      <c r="T114" t="s">
        <v>2785</v>
      </c>
      <c r="U114" s="134">
        <v>43752</v>
      </c>
      <c r="V114" s="134">
        <v>43756</v>
      </c>
      <c r="W114" t="s">
        <v>239</v>
      </c>
    </row>
    <row r="115" spans="15:23">
      <c r="O115" t="s">
        <v>2786</v>
      </c>
      <c r="P115" s="132" t="s">
        <v>2572</v>
      </c>
      <c r="Q115" s="132">
        <v>2</v>
      </c>
      <c r="R115" s="133" t="s">
        <v>2787</v>
      </c>
      <c r="S115" t="s">
        <v>1574</v>
      </c>
      <c r="T115" t="s">
        <v>1574</v>
      </c>
      <c r="U115" s="134">
        <v>43759</v>
      </c>
      <c r="V115" s="134">
        <v>43763</v>
      </c>
      <c r="W115" t="s">
        <v>2576</v>
      </c>
    </row>
    <row r="116" spans="15:23">
      <c r="O116" t="s">
        <v>2788</v>
      </c>
      <c r="P116" s="132" t="s">
        <v>2439</v>
      </c>
      <c r="Q116" s="132">
        <v>17</v>
      </c>
      <c r="R116" s="133" t="s">
        <v>2789</v>
      </c>
      <c r="S116" t="s">
        <v>139</v>
      </c>
      <c r="T116" t="s">
        <v>2790</v>
      </c>
      <c r="U116" s="134">
        <v>43759</v>
      </c>
      <c r="V116" s="134">
        <v>43762</v>
      </c>
      <c r="W116" t="s">
        <v>239</v>
      </c>
    </row>
    <row r="117" spans="15:23">
      <c r="O117" t="s">
        <v>2791</v>
      </c>
      <c r="P117" s="132" t="s">
        <v>2641</v>
      </c>
      <c r="Q117" s="132">
        <v>2</v>
      </c>
      <c r="R117" s="133" t="s">
        <v>2792</v>
      </c>
      <c r="S117" t="s">
        <v>139</v>
      </c>
      <c r="T117" t="s">
        <v>2793</v>
      </c>
      <c r="U117" s="134">
        <v>43760</v>
      </c>
      <c r="V117" s="134">
        <v>43762</v>
      </c>
      <c r="W117" t="s">
        <v>135</v>
      </c>
    </row>
    <row r="118" spans="15:23">
      <c r="O118" t="s">
        <v>2794</v>
      </c>
      <c r="P118" s="132" t="s">
        <v>2513</v>
      </c>
      <c r="Q118" s="132">
        <v>11</v>
      </c>
      <c r="R118" s="133" t="s">
        <v>2795</v>
      </c>
      <c r="S118" t="s">
        <v>139</v>
      </c>
      <c r="T118" t="s">
        <v>2171</v>
      </c>
      <c r="U118" s="134">
        <v>43763</v>
      </c>
      <c r="V118" s="134">
        <v>43766</v>
      </c>
      <c r="W118" t="s">
        <v>476</v>
      </c>
    </row>
    <row r="119" spans="15:23">
      <c r="O119" t="s">
        <v>2796</v>
      </c>
      <c r="P119" s="132" t="s">
        <v>2472</v>
      </c>
      <c r="Q119" s="132">
        <v>13</v>
      </c>
      <c r="R119" s="133" t="s">
        <v>2797</v>
      </c>
      <c r="S119" t="s">
        <v>218</v>
      </c>
      <c r="T119" t="s">
        <v>219</v>
      </c>
      <c r="U119" s="134">
        <v>43766</v>
      </c>
      <c r="V119" s="134">
        <v>43770</v>
      </c>
      <c r="W119" t="s">
        <v>122</v>
      </c>
    </row>
    <row r="120" spans="15:23">
      <c r="O120" t="s">
        <v>2798</v>
      </c>
      <c r="P120" s="132" t="s">
        <v>2439</v>
      </c>
      <c r="Q120" s="132">
        <v>18</v>
      </c>
      <c r="R120" s="133" t="s">
        <v>2799</v>
      </c>
      <c r="S120" t="s">
        <v>139</v>
      </c>
      <c r="T120" t="s">
        <v>652</v>
      </c>
      <c r="U120" s="134">
        <v>43774</v>
      </c>
      <c r="V120" s="134">
        <v>43777</v>
      </c>
      <c r="W120" t="s">
        <v>239</v>
      </c>
    </row>
    <row r="121" spans="15:23">
      <c r="O121" t="s">
        <v>2800</v>
      </c>
      <c r="P121" s="132" t="s">
        <v>2496</v>
      </c>
      <c r="Q121" s="132">
        <v>6</v>
      </c>
      <c r="R121" s="133" t="s">
        <v>2801</v>
      </c>
      <c r="S121" t="s">
        <v>295</v>
      </c>
      <c r="T121" t="s">
        <v>296</v>
      </c>
      <c r="U121" s="134">
        <v>43788</v>
      </c>
      <c r="V121" s="134">
        <v>43788</v>
      </c>
      <c r="W121" t="s">
        <v>290</v>
      </c>
    </row>
    <row r="122" spans="15:23">
      <c r="O122" t="s">
        <v>2802</v>
      </c>
      <c r="P122" s="132" t="s">
        <v>2513</v>
      </c>
      <c r="Q122" s="132">
        <v>12</v>
      </c>
      <c r="R122" s="133" t="s">
        <v>2803</v>
      </c>
      <c r="S122" t="s">
        <v>139</v>
      </c>
      <c r="T122" t="s">
        <v>2804</v>
      </c>
      <c r="U122" s="134">
        <v>43801</v>
      </c>
      <c r="V122" s="134">
        <v>43805</v>
      </c>
      <c r="W122" t="s">
        <v>476</v>
      </c>
    </row>
    <row r="123" spans="15:23">
      <c r="O123" t="s">
        <v>2805</v>
      </c>
      <c r="P123" s="132" t="s">
        <v>2488</v>
      </c>
      <c r="Q123" s="132">
        <v>2</v>
      </c>
      <c r="R123" s="133" t="s">
        <v>2806</v>
      </c>
      <c r="S123" t="s">
        <v>2657</v>
      </c>
      <c r="T123" t="s">
        <v>1574</v>
      </c>
      <c r="U123" s="134">
        <v>0</v>
      </c>
      <c r="V123" s="134">
        <v>0</v>
      </c>
      <c r="W123" t="s">
        <v>192</v>
      </c>
    </row>
    <row r="124" spans="15:23">
      <c r="O124" t="s">
        <v>2807</v>
      </c>
      <c r="P124" s="132" t="s">
        <v>2808</v>
      </c>
      <c r="Q124" s="132">
        <v>1</v>
      </c>
      <c r="R124" s="133" t="s">
        <v>2809</v>
      </c>
      <c r="S124" t="s">
        <v>139</v>
      </c>
      <c r="T124" t="s">
        <v>1574</v>
      </c>
      <c r="U124" s="134">
        <v>0</v>
      </c>
      <c r="V124" s="134">
        <v>0</v>
      </c>
      <c r="W124" t="s">
        <v>476</v>
      </c>
    </row>
    <row r="125" spans="15:23">
      <c r="O125" t="s">
        <v>2810</v>
      </c>
      <c r="P125" s="132" t="s">
        <v>2483</v>
      </c>
      <c r="Q125" s="132">
        <v>5</v>
      </c>
      <c r="R125" s="133" t="s">
        <v>2811</v>
      </c>
      <c r="S125" t="s">
        <v>1574</v>
      </c>
      <c r="T125" t="s">
        <v>1574</v>
      </c>
      <c r="U125" s="134">
        <v>0</v>
      </c>
      <c r="V125" s="134">
        <v>0</v>
      </c>
      <c r="W125" t="s">
        <v>122</v>
      </c>
    </row>
    <row r="126" spans="15:23">
      <c r="O126" t="s">
        <v>2812</v>
      </c>
      <c r="P126" s="132" t="s">
        <v>2472</v>
      </c>
      <c r="Q126" s="132">
        <v>14</v>
      </c>
      <c r="R126" s="133" t="s">
        <v>2813</v>
      </c>
      <c r="S126" t="s">
        <v>1574</v>
      </c>
      <c r="T126" t="s">
        <v>1574</v>
      </c>
      <c r="U126" s="134">
        <v>0</v>
      </c>
      <c r="V126" s="134">
        <v>0</v>
      </c>
      <c r="W126" t="s">
        <v>122</v>
      </c>
    </row>
    <row r="127" spans="15:23">
      <c r="O127" t="s">
        <v>2814</v>
      </c>
      <c r="P127" s="132" t="s">
        <v>2472</v>
      </c>
      <c r="Q127" s="132">
        <v>15</v>
      </c>
      <c r="R127" s="133" t="s">
        <v>2815</v>
      </c>
      <c r="S127" t="s">
        <v>218</v>
      </c>
      <c r="T127" t="s">
        <v>219</v>
      </c>
      <c r="U127" s="134">
        <v>0</v>
      </c>
      <c r="V127" s="134">
        <v>0</v>
      </c>
      <c r="W127" t="s">
        <v>122</v>
      </c>
    </row>
    <row r="128" spans="15:23">
      <c r="O128" t="s">
        <v>2816</v>
      </c>
      <c r="P128" s="132" t="s">
        <v>2817</v>
      </c>
      <c r="Q128" s="132">
        <v>1</v>
      </c>
      <c r="R128" s="133" t="s">
        <v>2818</v>
      </c>
      <c r="S128" t="s">
        <v>2819</v>
      </c>
      <c r="T128" t="s">
        <v>2820</v>
      </c>
      <c r="U128" s="134">
        <v>0</v>
      </c>
      <c r="V128" s="134">
        <v>0</v>
      </c>
      <c r="W128" t="s">
        <v>1049</v>
      </c>
    </row>
    <row r="129" spans="15:23">
      <c r="O129" t="s">
        <v>2821</v>
      </c>
      <c r="P129" s="132" t="s">
        <v>2538</v>
      </c>
      <c r="Q129" s="132">
        <v>3</v>
      </c>
      <c r="R129" s="133" t="s">
        <v>2822</v>
      </c>
      <c r="S129" t="s">
        <v>139</v>
      </c>
      <c r="T129" t="s">
        <v>1574</v>
      </c>
      <c r="U129" s="134">
        <v>0</v>
      </c>
      <c r="V129" s="134">
        <v>0</v>
      </c>
      <c r="W129" t="s">
        <v>476</v>
      </c>
    </row>
    <row r="130" spans="15:23">
      <c r="O130" t="s">
        <v>2823</v>
      </c>
      <c r="P130" s="132" t="s">
        <v>2824</v>
      </c>
      <c r="Q130" s="132">
        <v>1</v>
      </c>
      <c r="R130" s="133" t="s">
        <v>2825</v>
      </c>
      <c r="S130" t="s">
        <v>1574</v>
      </c>
      <c r="T130" t="s">
        <v>1574</v>
      </c>
      <c r="U130" s="134">
        <v>0</v>
      </c>
      <c r="V130" s="134">
        <v>0</v>
      </c>
      <c r="W130" t="s">
        <v>2583</v>
      </c>
    </row>
    <row r="131" spans="15:23">
      <c r="O131" t="s">
        <v>2826</v>
      </c>
      <c r="P131" s="132" t="s">
        <v>2506</v>
      </c>
      <c r="Q131" s="132">
        <v>3</v>
      </c>
      <c r="R131" s="133" t="s">
        <v>2827</v>
      </c>
      <c r="S131" t="s">
        <v>139</v>
      </c>
      <c r="T131" t="s">
        <v>1387</v>
      </c>
      <c r="U131" s="134">
        <v>0</v>
      </c>
      <c r="V131" s="134">
        <v>0</v>
      </c>
      <c r="W131" t="s">
        <v>1383</v>
      </c>
    </row>
    <row r="132" spans="15:23">
      <c r="O132" t="s">
        <v>2828</v>
      </c>
      <c r="P132" s="132" t="s">
        <v>2578</v>
      </c>
      <c r="Q132" s="132">
        <v>5</v>
      </c>
      <c r="R132" s="133" t="s">
        <v>2829</v>
      </c>
      <c r="S132" t="s">
        <v>1574</v>
      </c>
      <c r="T132" t="s">
        <v>1574</v>
      </c>
      <c r="U132" s="134">
        <v>0</v>
      </c>
      <c r="V132" s="134">
        <v>0</v>
      </c>
      <c r="W132" t="s">
        <v>122</v>
      </c>
    </row>
    <row r="133" spans="15:23">
      <c r="O133" t="s">
        <v>2830</v>
      </c>
      <c r="P133" s="132" t="s">
        <v>2456</v>
      </c>
      <c r="Q133" s="132">
        <v>2</v>
      </c>
      <c r="R133" s="133" t="s">
        <v>2831</v>
      </c>
      <c r="S133" t="s">
        <v>579</v>
      </c>
      <c r="T133" t="s">
        <v>1574</v>
      </c>
      <c r="U133" s="134">
        <v>0</v>
      </c>
      <c r="V133" s="134">
        <v>0</v>
      </c>
      <c r="W133" t="s">
        <v>192</v>
      </c>
    </row>
    <row r="134" spans="15:23">
      <c r="O134" t="s">
        <v>2832</v>
      </c>
      <c r="P134" s="132" t="s">
        <v>2833</v>
      </c>
      <c r="Q134" s="132">
        <v>1</v>
      </c>
      <c r="R134" s="133" t="s">
        <v>2834</v>
      </c>
      <c r="S134" t="s">
        <v>1574</v>
      </c>
      <c r="T134" t="s">
        <v>1574</v>
      </c>
      <c r="U134" s="134">
        <v>0</v>
      </c>
      <c r="V134" s="134">
        <v>0</v>
      </c>
      <c r="W134" t="s">
        <v>2599</v>
      </c>
    </row>
    <row r="135" spans="15:23">
      <c r="O135" t="s">
        <v>2835</v>
      </c>
      <c r="P135" s="132" t="s">
        <v>2538</v>
      </c>
      <c r="Q135" s="132">
        <v>4</v>
      </c>
      <c r="R135" s="133" t="s">
        <v>2836</v>
      </c>
      <c r="S135" t="s">
        <v>253</v>
      </c>
      <c r="T135" t="s">
        <v>2458</v>
      </c>
      <c r="U135" s="134">
        <v>0</v>
      </c>
      <c r="V135" s="134">
        <v>0</v>
      </c>
      <c r="W135" t="s">
        <v>476</v>
      </c>
    </row>
    <row r="136" spans="15:23">
      <c r="O136" t="s">
        <v>2837</v>
      </c>
      <c r="P136" s="132" t="s">
        <v>2496</v>
      </c>
      <c r="Q136" s="132">
        <v>7</v>
      </c>
      <c r="R136" s="133" t="s">
        <v>2838</v>
      </c>
      <c r="S136" t="s">
        <v>295</v>
      </c>
      <c r="T136" t="s">
        <v>296</v>
      </c>
      <c r="U136" s="134">
        <v>0</v>
      </c>
      <c r="V136" s="134">
        <v>0</v>
      </c>
      <c r="W136" t="s">
        <v>290</v>
      </c>
    </row>
    <row r="137" spans="15:23">
      <c r="O137" t="s">
        <v>2839</v>
      </c>
      <c r="P137" s="132" t="s">
        <v>2840</v>
      </c>
      <c r="Q137" s="132">
        <v>1</v>
      </c>
      <c r="R137" s="133" t="s">
        <v>2841</v>
      </c>
      <c r="S137" t="s">
        <v>1574</v>
      </c>
      <c r="T137" t="s">
        <v>1574</v>
      </c>
      <c r="U137" s="134">
        <v>0</v>
      </c>
      <c r="V137" s="134">
        <v>0</v>
      </c>
      <c r="W137" t="s">
        <v>2624</v>
      </c>
    </row>
    <row r="138" spans="15:23">
      <c r="O138" t="s">
        <v>2842</v>
      </c>
      <c r="P138" s="132" t="s">
        <v>2843</v>
      </c>
      <c r="Q138" s="132">
        <v>1</v>
      </c>
      <c r="R138" s="133" t="s">
        <v>2844</v>
      </c>
      <c r="S138" t="s">
        <v>207</v>
      </c>
      <c r="T138" t="s">
        <v>2845</v>
      </c>
      <c r="U138" s="134">
        <v>0</v>
      </c>
      <c r="V138" s="134">
        <v>0</v>
      </c>
      <c r="W138" t="s">
        <v>2659</v>
      </c>
    </row>
    <row r="139" spans="15:23">
      <c r="O139" t="s">
        <v>2846</v>
      </c>
      <c r="P139" s="132" t="s">
        <v>2506</v>
      </c>
      <c r="Q139" s="132">
        <v>4</v>
      </c>
      <c r="R139" s="133" t="s">
        <v>2847</v>
      </c>
      <c r="S139" t="s">
        <v>1117</v>
      </c>
      <c r="T139" t="s">
        <v>1118</v>
      </c>
      <c r="U139" s="134">
        <v>0</v>
      </c>
      <c r="V139" s="134">
        <v>0</v>
      </c>
      <c r="W139" t="s">
        <v>1383</v>
      </c>
    </row>
    <row r="140" spans="15:23">
      <c r="O140" t="s">
        <v>2848</v>
      </c>
      <c r="P140" s="132" t="s">
        <v>2849</v>
      </c>
      <c r="Q140" s="132">
        <v>1</v>
      </c>
      <c r="R140" s="133" t="s">
        <v>2850</v>
      </c>
      <c r="S140" t="s">
        <v>295</v>
      </c>
      <c r="T140" t="s">
        <v>296</v>
      </c>
      <c r="U140" s="134">
        <v>0</v>
      </c>
      <c r="V140" s="134">
        <v>0</v>
      </c>
      <c r="W140" t="s">
        <v>290</v>
      </c>
    </row>
    <row r="141" spans="15:23">
      <c r="O141" t="s">
        <v>2851</v>
      </c>
      <c r="P141" s="132" t="s">
        <v>2849</v>
      </c>
      <c r="Q141" s="132">
        <v>2</v>
      </c>
      <c r="R141" s="133" t="s">
        <v>2852</v>
      </c>
      <c r="S141" t="s">
        <v>295</v>
      </c>
      <c r="T141" t="s">
        <v>296</v>
      </c>
      <c r="U141" s="134">
        <v>0</v>
      </c>
      <c r="V141" s="134">
        <v>0</v>
      </c>
      <c r="W141" t="s">
        <v>290</v>
      </c>
    </row>
    <row r="142" spans="15:23">
      <c r="O142" t="s">
        <v>2853</v>
      </c>
      <c r="P142" s="132" t="s">
        <v>2538</v>
      </c>
      <c r="Q142" s="132">
        <v>5</v>
      </c>
      <c r="R142" s="133" t="s">
        <v>2854</v>
      </c>
      <c r="S142" t="s">
        <v>253</v>
      </c>
      <c r="T142" t="s">
        <v>2490</v>
      </c>
      <c r="U142" s="134">
        <v>0</v>
      </c>
      <c r="V142" s="134">
        <v>0</v>
      </c>
      <c r="W142" t="s">
        <v>476</v>
      </c>
    </row>
    <row r="143" spans="15:23">
      <c r="O143" t="s">
        <v>2855</v>
      </c>
      <c r="P143" s="132" t="s">
        <v>2456</v>
      </c>
      <c r="Q143" s="132">
        <v>3</v>
      </c>
      <c r="R143" s="133" t="s">
        <v>2856</v>
      </c>
      <c r="S143" t="s">
        <v>139</v>
      </c>
      <c r="T143" t="s">
        <v>1574</v>
      </c>
      <c r="U143" s="134">
        <v>0</v>
      </c>
      <c r="V143" s="134">
        <v>0</v>
      </c>
      <c r="W143" t="s">
        <v>192</v>
      </c>
    </row>
    <row r="144" spans="15:23">
      <c r="O144" t="s">
        <v>2857</v>
      </c>
      <c r="P144" s="132" t="s">
        <v>2472</v>
      </c>
      <c r="Q144" s="132">
        <v>16</v>
      </c>
      <c r="R144" s="133" t="s">
        <v>2858</v>
      </c>
      <c r="S144" t="s">
        <v>218</v>
      </c>
      <c r="T144" t="s">
        <v>219</v>
      </c>
      <c r="U144" s="134">
        <v>0</v>
      </c>
      <c r="V144" s="134">
        <v>0</v>
      </c>
      <c r="W144" t="s">
        <v>122</v>
      </c>
    </row>
    <row r="145" spans="15:23">
      <c r="O145" t="s">
        <v>2859</v>
      </c>
      <c r="P145" s="132" t="s">
        <v>2496</v>
      </c>
      <c r="Q145" s="132">
        <v>8</v>
      </c>
      <c r="R145" s="133" t="s">
        <v>2860</v>
      </c>
      <c r="S145" t="s">
        <v>1574</v>
      </c>
      <c r="T145" t="s">
        <v>1574</v>
      </c>
      <c r="U145" s="134">
        <v>0</v>
      </c>
      <c r="V145" s="134">
        <v>0</v>
      </c>
      <c r="W145" t="s">
        <v>290</v>
      </c>
    </row>
    <row r="146" spans="15:23">
      <c r="O146" t="s">
        <v>2861</v>
      </c>
      <c r="P146" s="132" t="s">
        <v>2679</v>
      </c>
      <c r="Q146" s="132">
        <v>2</v>
      </c>
      <c r="R146" s="133" t="s">
        <v>2862</v>
      </c>
      <c r="S146" t="s">
        <v>1574</v>
      </c>
      <c r="T146" t="s">
        <v>1574</v>
      </c>
      <c r="U146" s="134">
        <v>0</v>
      </c>
      <c r="V146" s="134">
        <v>0</v>
      </c>
      <c r="W146" t="s">
        <v>558</v>
      </c>
    </row>
    <row r="147" spans="15:23">
      <c r="O147" t="s">
        <v>2863</v>
      </c>
      <c r="P147" s="132" t="s">
        <v>2655</v>
      </c>
      <c r="Q147" s="132">
        <v>2</v>
      </c>
      <c r="R147" s="133" t="s">
        <v>2864</v>
      </c>
      <c r="S147" t="s">
        <v>253</v>
      </c>
      <c r="T147" t="s">
        <v>2458</v>
      </c>
      <c r="U147" s="134">
        <v>0</v>
      </c>
      <c r="V147" s="134">
        <v>0</v>
      </c>
      <c r="W147" t="s">
        <v>2116</v>
      </c>
    </row>
    <row r="148" spans="15:23">
      <c r="O148" t="s">
        <v>2865</v>
      </c>
      <c r="P148" s="132" t="s">
        <v>2866</v>
      </c>
      <c r="Q148" s="132">
        <v>1</v>
      </c>
      <c r="R148" s="133" t="s">
        <v>2867</v>
      </c>
      <c r="S148" t="s">
        <v>218</v>
      </c>
      <c r="T148" t="s">
        <v>219</v>
      </c>
      <c r="U148" s="134">
        <v>0</v>
      </c>
      <c r="V148" s="134">
        <v>0</v>
      </c>
      <c r="W148" t="s">
        <v>505</v>
      </c>
    </row>
    <row r="149" spans="15:23">
      <c r="O149" t="s">
        <v>2868</v>
      </c>
      <c r="P149" s="132" t="s">
        <v>2472</v>
      </c>
      <c r="Q149" s="132">
        <v>17</v>
      </c>
      <c r="R149" s="133" t="s">
        <v>2869</v>
      </c>
      <c r="S149" t="s">
        <v>218</v>
      </c>
      <c r="T149" t="s">
        <v>219</v>
      </c>
      <c r="U149" s="134">
        <v>0</v>
      </c>
      <c r="V149" s="134">
        <v>0</v>
      </c>
      <c r="W149" t="s">
        <v>122</v>
      </c>
    </row>
    <row r="150" spans="15:23">
      <c r="O150" t="s">
        <v>2870</v>
      </c>
      <c r="P150" s="132" t="s">
        <v>2871</v>
      </c>
      <c r="Q150" s="132">
        <v>1</v>
      </c>
      <c r="R150" s="133" t="s">
        <v>2872</v>
      </c>
      <c r="S150" t="s">
        <v>207</v>
      </c>
      <c r="T150" t="s">
        <v>2845</v>
      </c>
      <c r="U150" s="134">
        <v>0</v>
      </c>
      <c r="V150" s="134">
        <v>0</v>
      </c>
      <c r="W150" t="s">
        <v>2618</v>
      </c>
    </row>
    <row r="151" spans="15:23">
      <c r="O151" t="s">
        <v>2873</v>
      </c>
      <c r="P151" s="132" t="s">
        <v>2874</v>
      </c>
      <c r="Q151" s="132">
        <v>1</v>
      </c>
      <c r="R151" s="133" t="s">
        <v>2875</v>
      </c>
      <c r="S151" t="s">
        <v>113</v>
      </c>
      <c r="T151" t="s">
        <v>764</v>
      </c>
      <c r="U151" s="134">
        <v>0</v>
      </c>
      <c r="V151" s="134">
        <v>0</v>
      </c>
      <c r="W151" t="s">
        <v>1973</v>
      </c>
    </row>
    <row r="152" spans="15:23">
      <c r="O152" t="s">
        <v>2876</v>
      </c>
      <c r="P152" s="132" t="s">
        <v>2506</v>
      </c>
      <c r="Q152" s="132">
        <v>5</v>
      </c>
      <c r="R152" s="133" t="s">
        <v>2877</v>
      </c>
      <c r="S152" t="s">
        <v>295</v>
      </c>
      <c r="T152" t="s">
        <v>296</v>
      </c>
      <c r="U152" s="134">
        <v>0</v>
      </c>
      <c r="V152" s="134">
        <v>0</v>
      </c>
      <c r="W152" t="s">
        <v>1383</v>
      </c>
    </row>
    <row r="153" spans="15:23">
      <c r="O153" t="s">
        <v>2878</v>
      </c>
      <c r="P153" s="132" t="s">
        <v>2506</v>
      </c>
      <c r="Q153" s="132">
        <v>6</v>
      </c>
      <c r="R153" s="133" t="s">
        <v>2879</v>
      </c>
      <c r="S153" t="s">
        <v>304</v>
      </c>
      <c r="T153" t="s">
        <v>305</v>
      </c>
      <c r="U153" s="134">
        <v>0</v>
      </c>
      <c r="V153" s="134">
        <v>0</v>
      </c>
      <c r="W153" t="s">
        <v>1383</v>
      </c>
    </row>
    <row r="154" spans="15:23">
      <c r="O154" t="s">
        <v>2880</v>
      </c>
      <c r="P154" s="132" t="s">
        <v>2472</v>
      </c>
      <c r="Q154" s="132">
        <v>18</v>
      </c>
      <c r="R154" s="133" t="s">
        <v>2881</v>
      </c>
      <c r="S154" t="s">
        <v>218</v>
      </c>
      <c r="T154" t="s">
        <v>219</v>
      </c>
      <c r="U154" s="134">
        <v>0</v>
      </c>
      <c r="V154" s="134">
        <v>0</v>
      </c>
      <c r="W154" t="s">
        <v>122</v>
      </c>
    </row>
    <row r="155" spans="15:23">
      <c r="O155" t="s">
        <v>2882</v>
      </c>
      <c r="P155" s="132" t="s">
        <v>2472</v>
      </c>
      <c r="Q155" s="132">
        <v>19</v>
      </c>
      <c r="R155" s="133" t="s">
        <v>2883</v>
      </c>
      <c r="S155" t="s">
        <v>1574</v>
      </c>
      <c r="T155" t="s">
        <v>1574</v>
      </c>
      <c r="U155" s="134">
        <v>0</v>
      </c>
      <c r="V155" s="134">
        <v>0</v>
      </c>
      <c r="W155" t="s">
        <v>122</v>
      </c>
    </row>
    <row r="156" spans="15:23">
      <c r="O156" t="s">
        <v>2884</v>
      </c>
      <c r="P156" s="132" t="s">
        <v>2472</v>
      </c>
      <c r="Q156" s="132">
        <v>20</v>
      </c>
      <c r="R156" s="133" t="s">
        <v>2885</v>
      </c>
      <c r="S156" t="s">
        <v>1574</v>
      </c>
      <c r="T156" t="s">
        <v>1574</v>
      </c>
      <c r="U156" s="134">
        <v>0</v>
      </c>
      <c r="V156" s="134">
        <v>0</v>
      </c>
      <c r="W156" t="s">
        <v>122</v>
      </c>
    </row>
    <row r="157" spans="15:23">
      <c r="O157" t="s">
        <v>2886</v>
      </c>
      <c r="P157" s="132" t="s">
        <v>2833</v>
      </c>
      <c r="Q157" s="132">
        <v>2</v>
      </c>
      <c r="R157" s="133" t="s">
        <v>2887</v>
      </c>
      <c r="S157" t="s">
        <v>1574</v>
      </c>
      <c r="T157" t="s">
        <v>1574</v>
      </c>
      <c r="U157" s="134">
        <v>0</v>
      </c>
      <c r="V157" s="134">
        <v>0</v>
      </c>
      <c r="W157" t="s">
        <v>2599</v>
      </c>
    </row>
    <row r="158" spans="15:23">
      <c r="O158" t="s">
        <v>2888</v>
      </c>
      <c r="P158" s="132" t="s">
        <v>2889</v>
      </c>
      <c r="Q158" s="132">
        <v>1</v>
      </c>
      <c r="R158" s="133" t="s">
        <v>2890</v>
      </c>
      <c r="S158" t="s">
        <v>2891</v>
      </c>
      <c r="T158" t="s">
        <v>1574</v>
      </c>
      <c r="U158" s="134">
        <v>0</v>
      </c>
      <c r="V158" s="134">
        <v>0</v>
      </c>
      <c r="W158" t="s">
        <v>2143</v>
      </c>
    </row>
    <row r="159" spans="15:23">
      <c r="O159" t="s">
        <v>2892</v>
      </c>
      <c r="P159" s="132" t="s">
        <v>2472</v>
      </c>
      <c r="Q159" s="132">
        <v>21</v>
      </c>
      <c r="R159" s="133" t="s">
        <v>2893</v>
      </c>
      <c r="S159" t="s">
        <v>218</v>
      </c>
      <c r="T159" t="s">
        <v>219</v>
      </c>
      <c r="U159" s="134">
        <v>0</v>
      </c>
      <c r="V159" s="134">
        <v>0</v>
      </c>
      <c r="W159" t="s">
        <v>122</v>
      </c>
    </row>
    <row r="160" spans="15:23">
      <c r="O160" t="s">
        <v>2894</v>
      </c>
      <c r="P160" s="132" t="s">
        <v>2895</v>
      </c>
      <c r="Q160" s="132">
        <v>1</v>
      </c>
      <c r="R160" s="133" t="s">
        <v>2896</v>
      </c>
      <c r="S160" t="s">
        <v>218</v>
      </c>
      <c r="T160" t="s">
        <v>2663</v>
      </c>
      <c r="U160" s="134">
        <v>0</v>
      </c>
      <c r="V160" s="134">
        <v>0</v>
      </c>
      <c r="W160" t="s">
        <v>2508</v>
      </c>
    </row>
    <row r="161" spans="15:23">
      <c r="O161" t="s">
        <v>2897</v>
      </c>
      <c r="P161" s="132" t="s">
        <v>2472</v>
      </c>
      <c r="Q161" s="132">
        <v>22</v>
      </c>
      <c r="R161" s="133" t="s">
        <v>2898</v>
      </c>
      <c r="S161" t="s">
        <v>218</v>
      </c>
      <c r="T161" t="s">
        <v>219</v>
      </c>
      <c r="U161" s="134">
        <v>0</v>
      </c>
      <c r="V161" s="134">
        <v>0</v>
      </c>
      <c r="W161" t="s">
        <v>122</v>
      </c>
    </row>
    <row r="162" spans="15:23">
      <c r="O162" t="s">
        <v>2899</v>
      </c>
      <c r="P162" s="132" t="s">
        <v>2496</v>
      </c>
      <c r="Q162" s="132">
        <v>9</v>
      </c>
      <c r="R162" s="133" t="s">
        <v>2900</v>
      </c>
      <c r="S162" t="s">
        <v>295</v>
      </c>
      <c r="T162" t="s">
        <v>296</v>
      </c>
      <c r="U162" s="134">
        <v>0</v>
      </c>
      <c r="V162" s="134">
        <v>0</v>
      </c>
      <c r="W162" t="s">
        <v>290</v>
      </c>
    </row>
    <row r="163" spans="15:23">
      <c r="O163" t="s">
        <v>2901</v>
      </c>
      <c r="P163" s="132" t="s">
        <v>2902</v>
      </c>
      <c r="Q163" s="132">
        <v>1</v>
      </c>
      <c r="R163" s="133" t="s">
        <v>2903</v>
      </c>
      <c r="S163" t="s">
        <v>232</v>
      </c>
      <c r="T163" t="s">
        <v>2904</v>
      </c>
      <c r="U163" s="134">
        <v>0</v>
      </c>
      <c r="V163" s="134">
        <v>0</v>
      </c>
      <c r="W163" t="s">
        <v>391</v>
      </c>
    </row>
    <row r="164" spans="15:23">
      <c r="O164" t="s">
        <v>2905</v>
      </c>
      <c r="P164" s="132" t="s">
        <v>2902</v>
      </c>
      <c r="Q164" s="132">
        <v>2</v>
      </c>
      <c r="R164" s="133" t="s">
        <v>2906</v>
      </c>
      <c r="S164" t="s">
        <v>232</v>
      </c>
      <c r="T164" t="s">
        <v>2904</v>
      </c>
      <c r="U164" s="134">
        <v>0</v>
      </c>
      <c r="V164" s="134">
        <v>0</v>
      </c>
      <c r="W164" t="s">
        <v>391</v>
      </c>
    </row>
    <row r="165" spans="15:23">
      <c r="O165" t="s">
        <v>2907</v>
      </c>
      <c r="P165" s="132" t="s">
        <v>2908</v>
      </c>
      <c r="Q165" s="132">
        <v>1</v>
      </c>
      <c r="R165" s="133" t="s">
        <v>2909</v>
      </c>
      <c r="S165" t="s">
        <v>1574</v>
      </c>
      <c r="T165" t="s">
        <v>1574</v>
      </c>
      <c r="U165" s="134">
        <v>0</v>
      </c>
      <c r="V165" s="134">
        <v>0</v>
      </c>
      <c r="W165" t="s">
        <v>723</v>
      </c>
    </row>
    <row r="166" spans="15:23">
      <c r="O166" t="s">
        <v>2910</v>
      </c>
      <c r="P166" s="132" t="s">
        <v>2496</v>
      </c>
      <c r="Q166" s="132">
        <v>10</v>
      </c>
      <c r="R166" s="133" t="s">
        <v>2911</v>
      </c>
      <c r="S166" t="s">
        <v>1574</v>
      </c>
      <c r="T166" t="s">
        <v>1574</v>
      </c>
      <c r="U166" s="134">
        <v>0</v>
      </c>
      <c r="V166" s="134">
        <v>0</v>
      </c>
      <c r="W166" t="s">
        <v>290</v>
      </c>
    </row>
    <row r="167" spans="15:23">
      <c r="O167" t="s">
        <v>2912</v>
      </c>
      <c r="P167" s="132" t="s">
        <v>2913</v>
      </c>
      <c r="Q167" s="132">
        <v>1</v>
      </c>
      <c r="R167" s="133" t="s">
        <v>2914</v>
      </c>
      <c r="S167" t="s">
        <v>218</v>
      </c>
      <c r="T167" t="s">
        <v>219</v>
      </c>
      <c r="U167" s="134">
        <v>0</v>
      </c>
      <c r="V167" s="134">
        <v>0</v>
      </c>
      <c r="W167" t="s">
        <v>391</v>
      </c>
    </row>
    <row r="168" spans="15:23">
      <c r="O168" t="s">
        <v>2915</v>
      </c>
      <c r="P168" s="132" t="s">
        <v>2483</v>
      </c>
      <c r="Q168" s="132">
        <v>6</v>
      </c>
      <c r="R168" s="133" t="s">
        <v>2916</v>
      </c>
      <c r="S168" t="s">
        <v>1574</v>
      </c>
      <c r="T168" t="s">
        <v>1574</v>
      </c>
      <c r="U168" s="134">
        <v>0</v>
      </c>
      <c r="V168" s="134">
        <v>0</v>
      </c>
      <c r="W168" t="s">
        <v>122</v>
      </c>
    </row>
    <row r="169" spans="15:23">
      <c r="O169" t="s">
        <v>2917</v>
      </c>
      <c r="P169" s="132" t="s">
        <v>2895</v>
      </c>
      <c r="Q169" s="132">
        <v>2</v>
      </c>
      <c r="R169" s="133" t="s">
        <v>2918</v>
      </c>
      <c r="S169" t="s">
        <v>139</v>
      </c>
      <c r="T169" t="s">
        <v>2540</v>
      </c>
      <c r="U169" s="134">
        <v>0</v>
      </c>
      <c r="V169" s="134">
        <v>0</v>
      </c>
      <c r="W169" t="s">
        <v>2508</v>
      </c>
    </row>
    <row r="170" spans="15:23">
      <c r="O170" t="s">
        <v>2919</v>
      </c>
      <c r="P170" s="132" t="s">
        <v>2488</v>
      </c>
      <c r="Q170" s="132">
        <v>3</v>
      </c>
      <c r="R170" s="133" t="s">
        <v>2920</v>
      </c>
      <c r="S170" t="s">
        <v>1574</v>
      </c>
      <c r="T170" t="s">
        <v>1574</v>
      </c>
      <c r="U170" s="134">
        <v>0</v>
      </c>
      <c r="V170" s="134">
        <v>0</v>
      </c>
      <c r="W170" t="s">
        <v>192</v>
      </c>
    </row>
    <row r="171" spans="15:23">
      <c r="O171" t="s">
        <v>2921</v>
      </c>
      <c r="P171" s="132" t="s">
        <v>2513</v>
      </c>
      <c r="Q171" s="132">
        <v>13</v>
      </c>
      <c r="R171" s="133" t="s">
        <v>2922</v>
      </c>
      <c r="S171" t="s">
        <v>139</v>
      </c>
      <c r="T171" t="s">
        <v>2540</v>
      </c>
      <c r="U171" s="134">
        <v>0</v>
      </c>
      <c r="V171" s="134">
        <v>0</v>
      </c>
      <c r="W171" t="s">
        <v>476</v>
      </c>
    </row>
    <row r="172" spans="15:23">
      <c r="O172" t="s">
        <v>2923</v>
      </c>
      <c r="P172" s="132" t="s">
        <v>2522</v>
      </c>
      <c r="Q172" s="132">
        <v>7</v>
      </c>
      <c r="R172" s="133" t="s">
        <v>2924</v>
      </c>
      <c r="S172" t="s">
        <v>218</v>
      </c>
      <c r="T172" t="s">
        <v>219</v>
      </c>
      <c r="U172" s="134">
        <v>0</v>
      </c>
      <c r="V172" s="134">
        <v>0</v>
      </c>
      <c r="W172" t="s">
        <v>122</v>
      </c>
    </row>
    <row r="173" spans="15:23">
      <c r="O173" t="s">
        <v>2925</v>
      </c>
      <c r="P173" s="132" t="s">
        <v>2895</v>
      </c>
      <c r="Q173" s="132">
        <v>3</v>
      </c>
      <c r="R173" s="133" t="s">
        <v>2926</v>
      </c>
      <c r="S173" t="s">
        <v>253</v>
      </c>
      <c r="T173" t="s">
        <v>2490</v>
      </c>
      <c r="U173" s="134">
        <v>0</v>
      </c>
      <c r="V173" s="134">
        <v>0</v>
      </c>
      <c r="W173" t="s">
        <v>2508</v>
      </c>
    </row>
    <row r="174" spans="15:23">
      <c r="O174" t="s">
        <v>2927</v>
      </c>
      <c r="P174" s="132" t="s">
        <v>2895</v>
      </c>
      <c r="Q174" s="132">
        <v>4</v>
      </c>
      <c r="R174" s="133" t="s">
        <v>2928</v>
      </c>
      <c r="S174" t="s">
        <v>253</v>
      </c>
      <c r="T174" t="s">
        <v>2490</v>
      </c>
      <c r="U174" s="134">
        <v>0</v>
      </c>
      <c r="V174" s="134">
        <v>0</v>
      </c>
      <c r="W174" t="s">
        <v>2508</v>
      </c>
    </row>
    <row r="175" spans="15:23">
      <c r="O175" t="s">
        <v>2929</v>
      </c>
      <c r="P175" s="132" t="s">
        <v>2930</v>
      </c>
      <c r="Q175" s="132">
        <v>1</v>
      </c>
      <c r="R175" s="133" t="s">
        <v>2931</v>
      </c>
      <c r="S175" t="s">
        <v>1574</v>
      </c>
      <c r="T175" t="s">
        <v>1574</v>
      </c>
      <c r="U175" s="134">
        <v>0</v>
      </c>
      <c r="V175" s="134">
        <v>0</v>
      </c>
      <c r="W175" t="s">
        <v>2576</v>
      </c>
    </row>
    <row r="176" spans="15:23">
      <c r="O176" t="s">
        <v>2932</v>
      </c>
      <c r="P176" s="132" t="s">
        <v>2933</v>
      </c>
      <c r="Q176" s="132">
        <v>1</v>
      </c>
      <c r="R176" s="133" t="s">
        <v>2934</v>
      </c>
      <c r="S176" t="s">
        <v>218</v>
      </c>
      <c r="T176" t="s">
        <v>219</v>
      </c>
      <c r="U176" s="134">
        <v>0</v>
      </c>
      <c r="V176" s="134">
        <v>0</v>
      </c>
      <c r="W176" t="s">
        <v>122</v>
      </c>
    </row>
    <row r="177" spans="15:23">
      <c r="O177" t="s">
        <v>2935</v>
      </c>
      <c r="P177" s="132" t="s">
        <v>2522</v>
      </c>
      <c r="Q177" s="132">
        <v>8</v>
      </c>
      <c r="R177" s="133" t="s">
        <v>2936</v>
      </c>
      <c r="S177" t="s">
        <v>1574</v>
      </c>
      <c r="T177" t="s">
        <v>1574</v>
      </c>
      <c r="U177" s="134">
        <v>0</v>
      </c>
      <c r="V177" s="134">
        <v>0</v>
      </c>
      <c r="W177" t="s">
        <v>122</v>
      </c>
    </row>
    <row r="178" spans="15:23">
      <c r="O178" t="s">
        <v>2937</v>
      </c>
      <c r="P178" s="132" t="s">
        <v>2938</v>
      </c>
      <c r="Q178" s="132">
        <v>1</v>
      </c>
      <c r="R178" s="133" t="s">
        <v>2939</v>
      </c>
      <c r="S178" t="s">
        <v>1934</v>
      </c>
      <c r="T178" t="s">
        <v>2940</v>
      </c>
      <c r="U178" s="134">
        <v>0</v>
      </c>
      <c r="V178" s="134">
        <v>0</v>
      </c>
      <c r="W178" t="s">
        <v>1481</v>
      </c>
    </row>
    <row r="179" spans="15:23">
      <c r="O179" t="s">
        <v>2941</v>
      </c>
      <c r="P179" s="132" t="s">
        <v>2698</v>
      </c>
      <c r="Q179" s="132">
        <v>3</v>
      </c>
      <c r="R179" s="133" t="s">
        <v>2942</v>
      </c>
      <c r="S179" t="s">
        <v>218</v>
      </c>
      <c r="T179" t="s">
        <v>219</v>
      </c>
      <c r="U179" s="134">
        <v>0</v>
      </c>
      <c r="V179" s="134">
        <v>0</v>
      </c>
      <c r="W179" t="s">
        <v>122</v>
      </c>
    </row>
    <row r="180" spans="15:23">
      <c r="O180" t="s">
        <v>2943</v>
      </c>
      <c r="P180" s="132" t="s">
        <v>2496</v>
      </c>
      <c r="Q180" s="132">
        <v>11</v>
      </c>
      <c r="R180" s="133" t="s">
        <v>2944</v>
      </c>
      <c r="S180" t="s">
        <v>1574</v>
      </c>
      <c r="T180" t="s">
        <v>1574</v>
      </c>
      <c r="U180" s="134">
        <v>0</v>
      </c>
      <c r="V180" s="134">
        <v>0</v>
      </c>
      <c r="W180" t="s">
        <v>290</v>
      </c>
    </row>
    <row r="181" spans="15:23">
      <c r="O181" t="s">
        <v>2945</v>
      </c>
      <c r="P181" s="132" t="s">
        <v>2510</v>
      </c>
      <c r="Q181" s="132">
        <v>5</v>
      </c>
      <c r="R181" s="133" t="s">
        <v>2946</v>
      </c>
      <c r="S181" t="s">
        <v>295</v>
      </c>
      <c r="T181" t="s">
        <v>296</v>
      </c>
      <c r="U181" s="134">
        <v>0</v>
      </c>
      <c r="V181" s="134">
        <v>0</v>
      </c>
      <c r="W181" t="s">
        <v>2503</v>
      </c>
    </row>
    <row r="182" spans="15:23">
      <c r="O182" t="s">
        <v>2947</v>
      </c>
      <c r="P182" s="132" t="s">
        <v>2472</v>
      </c>
      <c r="Q182" s="132">
        <v>23</v>
      </c>
      <c r="R182" s="133" t="s">
        <v>2948</v>
      </c>
      <c r="S182" t="s">
        <v>1574</v>
      </c>
      <c r="T182" t="s">
        <v>1574</v>
      </c>
      <c r="U182" s="134">
        <v>0</v>
      </c>
      <c r="V182" s="134">
        <v>0</v>
      </c>
      <c r="W182" t="s">
        <v>122</v>
      </c>
    </row>
    <row r="183" spans="15:23">
      <c r="O183" t="s">
        <v>2949</v>
      </c>
      <c r="P183" s="132" t="s">
        <v>2472</v>
      </c>
      <c r="Q183" s="132">
        <v>24</v>
      </c>
      <c r="R183" s="133" t="s">
        <v>2950</v>
      </c>
      <c r="S183" t="s">
        <v>1574</v>
      </c>
      <c r="T183" t="s">
        <v>1574</v>
      </c>
      <c r="U183" s="134">
        <v>0</v>
      </c>
      <c r="V183" s="134">
        <v>0</v>
      </c>
      <c r="W183" t="s">
        <v>122</v>
      </c>
    </row>
    <row r="184" spans="15:23">
      <c r="O184" t="s">
        <v>2951</v>
      </c>
      <c r="P184" s="132" t="s">
        <v>2488</v>
      </c>
      <c r="Q184" s="132">
        <v>4</v>
      </c>
      <c r="R184" s="133" t="s">
        <v>2952</v>
      </c>
      <c r="S184" t="s">
        <v>196</v>
      </c>
      <c r="T184" t="s">
        <v>197</v>
      </c>
      <c r="U184" s="134">
        <v>0</v>
      </c>
      <c r="V184" s="134">
        <v>0</v>
      </c>
      <c r="W184" t="s">
        <v>192</v>
      </c>
    </row>
    <row r="185" spans="15:23">
      <c r="O185" t="s">
        <v>2953</v>
      </c>
      <c r="P185" s="132" t="s">
        <v>2488</v>
      </c>
      <c r="Q185" s="132">
        <v>5</v>
      </c>
      <c r="R185" s="133" t="s">
        <v>2954</v>
      </c>
      <c r="S185" t="s">
        <v>196</v>
      </c>
      <c r="T185" t="s">
        <v>197</v>
      </c>
      <c r="U185" s="134">
        <v>0</v>
      </c>
      <c r="V185" s="134">
        <v>0</v>
      </c>
      <c r="W185" t="s">
        <v>192</v>
      </c>
    </row>
    <row r="186" spans="15:23">
      <c r="O186" t="s">
        <v>2955</v>
      </c>
      <c r="P186" s="132" t="s">
        <v>2488</v>
      </c>
      <c r="Q186" s="132">
        <v>6</v>
      </c>
      <c r="R186" s="133" t="s">
        <v>2956</v>
      </c>
      <c r="S186" t="s">
        <v>397</v>
      </c>
      <c r="T186" t="s">
        <v>2957</v>
      </c>
      <c r="U186" s="134">
        <v>0</v>
      </c>
      <c r="V186" s="134">
        <v>0</v>
      </c>
      <c r="W186" t="s">
        <v>192</v>
      </c>
    </row>
    <row r="187" spans="15:23">
      <c r="O187" t="s">
        <v>2958</v>
      </c>
      <c r="P187" s="132" t="s">
        <v>2488</v>
      </c>
      <c r="Q187" s="132">
        <v>7</v>
      </c>
      <c r="R187" s="133" t="s">
        <v>2959</v>
      </c>
      <c r="S187" t="s">
        <v>2721</v>
      </c>
      <c r="T187" t="s">
        <v>1574</v>
      </c>
      <c r="U187" s="134">
        <v>0</v>
      </c>
      <c r="V187" s="134">
        <v>0</v>
      </c>
      <c r="W187" t="s">
        <v>192</v>
      </c>
    </row>
    <row r="188" spans="15:23">
      <c r="O188" t="s">
        <v>2960</v>
      </c>
      <c r="P188" s="132" t="s">
        <v>2488</v>
      </c>
      <c r="Q188" s="132">
        <v>8</v>
      </c>
      <c r="R188" s="133" t="s">
        <v>2961</v>
      </c>
      <c r="S188" t="s">
        <v>2721</v>
      </c>
      <c r="T188" t="s">
        <v>1574</v>
      </c>
      <c r="U188" s="134">
        <v>0</v>
      </c>
      <c r="V188" s="134">
        <v>0</v>
      </c>
      <c r="W188" t="s">
        <v>192</v>
      </c>
    </row>
    <row r="189" spans="15:23">
      <c r="O189" t="s">
        <v>2962</v>
      </c>
      <c r="P189" s="132" t="s">
        <v>2895</v>
      </c>
      <c r="Q189" s="132">
        <v>5</v>
      </c>
      <c r="R189" s="133" t="s">
        <v>2963</v>
      </c>
      <c r="S189" t="s">
        <v>232</v>
      </c>
      <c r="T189" t="s">
        <v>233</v>
      </c>
      <c r="U189" s="134">
        <v>0</v>
      </c>
      <c r="V189" s="134">
        <v>0</v>
      </c>
      <c r="W189" t="s">
        <v>2508</v>
      </c>
    </row>
    <row r="190" spans="15:23">
      <c r="O190" t="s">
        <v>2964</v>
      </c>
      <c r="P190" s="132" t="s">
        <v>2461</v>
      </c>
      <c r="Q190" s="132">
        <v>3</v>
      </c>
      <c r="R190" s="133" t="s">
        <v>2965</v>
      </c>
      <c r="S190" t="s">
        <v>253</v>
      </c>
      <c r="T190" t="s">
        <v>1867</v>
      </c>
      <c r="U190" s="134">
        <v>0</v>
      </c>
      <c r="V190" s="134">
        <v>0</v>
      </c>
      <c r="W190" t="s">
        <v>192</v>
      </c>
    </row>
    <row r="191" spans="15:23">
      <c r="O191" t="s">
        <v>2966</v>
      </c>
      <c r="P191" s="132" t="s">
        <v>2461</v>
      </c>
      <c r="Q191" s="132">
        <v>4</v>
      </c>
      <c r="R191" s="133" t="s">
        <v>2967</v>
      </c>
      <c r="S191" t="s">
        <v>2968</v>
      </c>
      <c r="T191" t="s">
        <v>2969</v>
      </c>
      <c r="U191" s="134">
        <v>0</v>
      </c>
      <c r="V191" s="134">
        <v>0</v>
      </c>
      <c r="W191" t="s">
        <v>192</v>
      </c>
    </row>
    <row r="192" spans="15:23">
      <c r="O192" t="s">
        <v>2970</v>
      </c>
      <c r="P192" s="132" t="s">
        <v>2483</v>
      </c>
      <c r="Q192" s="132">
        <v>7</v>
      </c>
      <c r="R192" s="133" t="s">
        <v>2971</v>
      </c>
      <c r="S192" t="s">
        <v>1574</v>
      </c>
      <c r="T192" t="s">
        <v>1574</v>
      </c>
      <c r="U192" s="134">
        <v>0</v>
      </c>
      <c r="V192" s="134">
        <v>0</v>
      </c>
      <c r="W192" t="s">
        <v>122</v>
      </c>
    </row>
    <row r="193" spans="15:23">
      <c r="O193" t="s">
        <v>2972</v>
      </c>
      <c r="P193" s="132" t="s">
        <v>2522</v>
      </c>
      <c r="Q193" s="132">
        <v>9</v>
      </c>
      <c r="R193" s="133" t="s">
        <v>2973</v>
      </c>
      <c r="S193" t="s">
        <v>1574</v>
      </c>
      <c r="T193" t="s">
        <v>1574</v>
      </c>
      <c r="U193" s="134">
        <v>0</v>
      </c>
      <c r="V193" s="134">
        <v>0</v>
      </c>
      <c r="W193" t="s">
        <v>122</v>
      </c>
    </row>
    <row r="194" spans="15:23">
      <c r="O194" t="s">
        <v>2974</v>
      </c>
      <c r="P194" s="132" t="s">
        <v>2975</v>
      </c>
      <c r="Q194" s="132">
        <v>1</v>
      </c>
      <c r="R194" s="133" t="s">
        <v>2976</v>
      </c>
      <c r="S194" t="s">
        <v>1574</v>
      </c>
      <c r="T194" t="s">
        <v>1574</v>
      </c>
      <c r="U194" s="134">
        <v>0</v>
      </c>
      <c r="V194" s="134">
        <v>0</v>
      </c>
      <c r="W194" t="s">
        <v>122</v>
      </c>
    </row>
    <row r="195" spans="15:23">
      <c r="O195" t="s">
        <v>2977</v>
      </c>
      <c r="P195" s="132" t="s">
        <v>2895</v>
      </c>
      <c r="Q195" s="132">
        <v>6</v>
      </c>
      <c r="R195" s="133" t="s">
        <v>2978</v>
      </c>
      <c r="S195" t="s">
        <v>139</v>
      </c>
      <c r="T195" t="s">
        <v>2979</v>
      </c>
      <c r="U195" s="134">
        <v>0</v>
      </c>
      <c r="V195" s="134">
        <v>0</v>
      </c>
      <c r="W195" t="s">
        <v>2508</v>
      </c>
    </row>
    <row r="196" spans="15:23">
      <c r="O196" t="s">
        <v>2980</v>
      </c>
      <c r="P196" s="132" t="s">
        <v>2981</v>
      </c>
      <c r="Q196" s="132">
        <v>1</v>
      </c>
      <c r="R196" s="133" t="s">
        <v>2982</v>
      </c>
      <c r="S196" t="s">
        <v>1574</v>
      </c>
      <c r="T196" t="s">
        <v>1574</v>
      </c>
      <c r="U196" s="134">
        <v>0</v>
      </c>
      <c r="V196" s="134">
        <v>0</v>
      </c>
      <c r="W196" t="s">
        <v>239</v>
      </c>
    </row>
    <row r="197" spans="15:23">
      <c r="O197" t="s">
        <v>2983</v>
      </c>
      <c r="P197" s="132" t="s">
        <v>2461</v>
      </c>
      <c r="Q197" s="132">
        <v>5</v>
      </c>
      <c r="R197" s="133" t="s">
        <v>2984</v>
      </c>
      <c r="S197" t="s">
        <v>253</v>
      </c>
      <c r="T197" t="s">
        <v>1574</v>
      </c>
      <c r="U197" s="134">
        <v>0</v>
      </c>
      <c r="V197" s="134">
        <v>0</v>
      </c>
      <c r="W197" t="s">
        <v>192</v>
      </c>
    </row>
    <row r="198" spans="15:23">
      <c r="O198" t="s">
        <v>2985</v>
      </c>
      <c r="P198" s="132" t="s">
        <v>2641</v>
      </c>
      <c r="Q198" s="132">
        <v>3</v>
      </c>
      <c r="R198" s="133" t="s">
        <v>2986</v>
      </c>
      <c r="S198" t="s">
        <v>1574</v>
      </c>
      <c r="T198" t="s">
        <v>1574</v>
      </c>
      <c r="U198" s="134">
        <v>0</v>
      </c>
      <c r="V198" s="134">
        <v>0</v>
      </c>
      <c r="W198" t="s">
        <v>135</v>
      </c>
    </row>
    <row r="199" spans="15:23">
      <c r="O199" t="s">
        <v>2987</v>
      </c>
      <c r="P199" s="132" t="s">
        <v>2988</v>
      </c>
      <c r="Q199" s="132">
        <v>1</v>
      </c>
      <c r="R199" s="133" t="s">
        <v>2989</v>
      </c>
      <c r="S199" t="s">
        <v>1574</v>
      </c>
      <c r="T199" t="s">
        <v>1574</v>
      </c>
      <c r="U199" s="134">
        <v>0</v>
      </c>
      <c r="V199" s="134">
        <v>0</v>
      </c>
      <c r="W199" t="s">
        <v>2990</v>
      </c>
    </row>
    <row r="200" spans="15:23">
      <c r="O200" t="s">
        <v>2991</v>
      </c>
      <c r="P200" s="132" t="s">
        <v>2510</v>
      </c>
      <c r="Q200" s="132">
        <v>6</v>
      </c>
      <c r="R200" s="133" t="s">
        <v>2992</v>
      </c>
      <c r="S200" t="s">
        <v>295</v>
      </c>
      <c r="T200" t="s">
        <v>296</v>
      </c>
      <c r="U200" s="134">
        <v>0</v>
      </c>
      <c r="V200" s="134">
        <v>0</v>
      </c>
      <c r="W200" t="s">
        <v>2503</v>
      </c>
    </row>
    <row r="201" spans="15:23">
      <c r="O201" t="s">
        <v>2993</v>
      </c>
      <c r="P201" s="132" t="s">
        <v>2483</v>
      </c>
      <c r="Q201" s="132">
        <v>8</v>
      </c>
      <c r="R201" s="133" t="s">
        <v>2994</v>
      </c>
      <c r="S201" t="s">
        <v>1574</v>
      </c>
      <c r="T201" t="s">
        <v>1574</v>
      </c>
      <c r="U201" s="134">
        <v>0</v>
      </c>
      <c r="V201" s="134">
        <v>0</v>
      </c>
      <c r="W201" t="s">
        <v>122</v>
      </c>
    </row>
    <row r="202" spans="15:23">
      <c r="O202" t="s">
        <v>2995</v>
      </c>
      <c r="P202" s="132" t="s">
        <v>2492</v>
      </c>
      <c r="Q202" s="132">
        <v>2</v>
      </c>
      <c r="R202" s="133" t="s">
        <v>2996</v>
      </c>
      <c r="S202" t="s">
        <v>1574</v>
      </c>
      <c r="T202" t="s">
        <v>1574</v>
      </c>
      <c r="U202" s="134">
        <v>0</v>
      </c>
      <c r="V202" s="134">
        <v>0</v>
      </c>
      <c r="W202" t="s">
        <v>122</v>
      </c>
    </row>
    <row r="203" spans="15:23">
      <c r="O203" t="s">
        <v>2997</v>
      </c>
      <c r="P203" s="132" t="s">
        <v>2998</v>
      </c>
      <c r="Q203" s="132">
        <v>1</v>
      </c>
      <c r="R203" s="133" t="s">
        <v>2999</v>
      </c>
      <c r="S203" t="s">
        <v>253</v>
      </c>
      <c r="T203" t="s">
        <v>2458</v>
      </c>
      <c r="U203" s="134">
        <v>0</v>
      </c>
      <c r="V203" s="134">
        <v>0</v>
      </c>
      <c r="W203" t="s">
        <v>2990</v>
      </c>
    </row>
    <row r="204" spans="15:23">
      <c r="O204" t="s">
        <v>3000</v>
      </c>
      <c r="P204" s="132" t="s">
        <v>2661</v>
      </c>
      <c r="Q204" s="132">
        <v>2</v>
      </c>
      <c r="R204" s="133" t="s">
        <v>3001</v>
      </c>
      <c r="S204" t="s">
        <v>1574</v>
      </c>
      <c r="T204" t="s">
        <v>1574</v>
      </c>
      <c r="U204" s="134">
        <v>0</v>
      </c>
      <c r="V204" s="134">
        <v>0</v>
      </c>
      <c r="W204" t="s">
        <v>1542</v>
      </c>
    </row>
    <row r="205" spans="15:23">
      <c r="O205" t="s">
        <v>3002</v>
      </c>
      <c r="P205" s="132" t="s">
        <v>2933</v>
      </c>
      <c r="Q205" s="132">
        <v>2</v>
      </c>
      <c r="R205" s="133" t="s">
        <v>3003</v>
      </c>
      <c r="S205" t="s">
        <v>218</v>
      </c>
      <c r="T205" t="s">
        <v>219</v>
      </c>
      <c r="U205" s="134">
        <v>0</v>
      </c>
      <c r="V205" s="134">
        <v>0</v>
      </c>
      <c r="W205" t="s">
        <v>122</v>
      </c>
    </row>
    <row r="206" spans="15:23">
      <c r="O206" t="s">
        <v>3004</v>
      </c>
      <c r="P206" s="132" t="s">
        <v>2472</v>
      </c>
      <c r="Q206" s="132">
        <v>25</v>
      </c>
      <c r="R206" s="133" t="s">
        <v>3005</v>
      </c>
      <c r="S206" t="s">
        <v>1574</v>
      </c>
      <c r="T206" t="s">
        <v>1574</v>
      </c>
      <c r="U206" s="134">
        <v>0</v>
      </c>
      <c r="V206" s="134">
        <v>0</v>
      </c>
      <c r="W206" t="s">
        <v>122</v>
      </c>
    </row>
    <row r="207" spans="15:23">
      <c r="O207" t="s">
        <v>3006</v>
      </c>
      <c r="P207" s="132" t="s">
        <v>2492</v>
      </c>
      <c r="Q207" s="132">
        <v>3</v>
      </c>
      <c r="R207" s="133" t="s">
        <v>3007</v>
      </c>
      <c r="S207" t="s">
        <v>1574</v>
      </c>
      <c r="T207" t="s">
        <v>1574</v>
      </c>
      <c r="U207" s="134">
        <v>0</v>
      </c>
      <c r="V207" s="134">
        <v>0</v>
      </c>
      <c r="W207" t="s">
        <v>122</v>
      </c>
    </row>
    <row r="208" spans="15:23">
      <c r="O208" t="s">
        <v>3008</v>
      </c>
      <c r="P208" s="132" t="s">
        <v>3009</v>
      </c>
      <c r="Q208" s="132">
        <v>1</v>
      </c>
      <c r="R208" s="133" t="s">
        <v>3010</v>
      </c>
      <c r="S208" t="s">
        <v>1574</v>
      </c>
      <c r="T208" t="s">
        <v>1574</v>
      </c>
      <c r="U208" s="134">
        <v>0</v>
      </c>
      <c r="V208" s="134">
        <v>0</v>
      </c>
      <c r="W208" t="s">
        <v>1293</v>
      </c>
    </row>
    <row r="209" spans="15:23">
      <c r="O209" t="s">
        <v>3011</v>
      </c>
      <c r="P209" s="132" t="s">
        <v>2538</v>
      </c>
      <c r="Q209" s="132">
        <v>6</v>
      </c>
      <c r="R209" s="133" t="s">
        <v>3012</v>
      </c>
      <c r="S209" t="s">
        <v>139</v>
      </c>
      <c r="T209" t="s">
        <v>1574</v>
      </c>
      <c r="U209" s="134">
        <v>0</v>
      </c>
      <c r="V209" s="134">
        <v>0</v>
      </c>
      <c r="W209" t="s">
        <v>476</v>
      </c>
    </row>
    <row r="210" spans="15:23">
      <c r="O210" t="s">
        <v>3013</v>
      </c>
      <c r="P210" s="132" t="s">
        <v>2538</v>
      </c>
      <c r="Q210" s="132">
        <v>7</v>
      </c>
      <c r="R210" s="133" t="s">
        <v>3014</v>
      </c>
      <c r="S210" t="s">
        <v>1574</v>
      </c>
      <c r="T210" t="s">
        <v>1574</v>
      </c>
      <c r="U210" s="134">
        <v>0</v>
      </c>
      <c r="V210" s="134">
        <v>0</v>
      </c>
      <c r="W210" t="s">
        <v>476</v>
      </c>
    </row>
    <row r="211" spans="15:23">
      <c r="O211" t="s">
        <v>3015</v>
      </c>
      <c r="P211" s="132" t="s">
        <v>3009</v>
      </c>
      <c r="Q211" s="132">
        <v>2</v>
      </c>
      <c r="R211" s="133" t="s">
        <v>3016</v>
      </c>
      <c r="S211" t="s">
        <v>1574</v>
      </c>
      <c r="T211" t="s">
        <v>1574</v>
      </c>
      <c r="U211" s="134">
        <v>0</v>
      </c>
      <c r="V211" s="134">
        <v>0</v>
      </c>
      <c r="W211" t="s">
        <v>1293</v>
      </c>
    </row>
    <row r="212" spans="15:23">
      <c r="O212" t="s">
        <v>3017</v>
      </c>
      <c r="P212" s="132" t="s">
        <v>2492</v>
      </c>
      <c r="Q212" s="132">
        <v>4</v>
      </c>
      <c r="R212" s="133" t="s">
        <v>3018</v>
      </c>
      <c r="S212" t="s">
        <v>1574</v>
      </c>
      <c r="T212" t="s">
        <v>1574</v>
      </c>
      <c r="U212" s="134">
        <v>0</v>
      </c>
      <c r="V212" s="134">
        <v>0</v>
      </c>
      <c r="W212" t="s">
        <v>122</v>
      </c>
    </row>
    <row r="213" spans="15:23">
      <c r="O213" t="s">
        <v>3019</v>
      </c>
      <c r="P213" s="132" t="s">
        <v>2483</v>
      </c>
      <c r="Q213" s="132">
        <v>9</v>
      </c>
      <c r="R213" s="133" t="s">
        <v>3020</v>
      </c>
      <c r="S213" t="s">
        <v>1574</v>
      </c>
      <c r="T213" t="s">
        <v>1574</v>
      </c>
      <c r="U213" s="134">
        <v>0</v>
      </c>
      <c r="V213" s="134">
        <v>0</v>
      </c>
      <c r="W213" t="s">
        <v>122</v>
      </c>
    </row>
    <row r="214" spans="15:23">
      <c r="O214" t="s">
        <v>3021</v>
      </c>
      <c r="P214" s="132" t="s">
        <v>2483</v>
      </c>
      <c r="Q214" s="132">
        <v>10</v>
      </c>
      <c r="R214" s="133" t="s">
        <v>3022</v>
      </c>
      <c r="S214" t="s">
        <v>1574</v>
      </c>
      <c r="T214" t="s">
        <v>1574</v>
      </c>
      <c r="U214" s="134">
        <v>0</v>
      </c>
      <c r="V214" s="134">
        <v>0</v>
      </c>
      <c r="W214" t="s">
        <v>122</v>
      </c>
    </row>
    <row r="215" spans="15:23">
      <c r="O215" t="s">
        <v>3023</v>
      </c>
      <c r="P215" s="132" t="s">
        <v>2483</v>
      </c>
      <c r="Q215" s="132">
        <v>11</v>
      </c>
      <c r="R215" s="133" t="s">
        <v>3024</v>
      </c>
      <c r="S215" t="s">
        <v>232</v>
      </c>
      <c r="T215" t="s">
        <v>3025</v>
      </c>
      <c r="U215" s="134">
        <v>0</v>
      </c>
      <c r="V215" s="134">
        <v>0</v>
      </c>
      <c r="W215" t="s">
        <v>122</v>
      </c>
    </row>
    <row r="216" spans="15:23">
      <c r="O216" t="s">
        <v>3026</v>
      </c>
      <c r="P216" s="132" t="s">
        <v>2895</v>
      </c>
      <c r="Q216" s="132">
        <v>7</v>
      </c>
      <c r="R216" s="133" t="s">
        <v>3027</v>
      </c>
      <c r="S216" t="s">
        <v>1574</v>
      </c>
      <c r="T216" t="s">
        <v>1574</v>
      </c>
      <c r="U216" s="134">
        <v>0</v>
      </c>
      <c r="V216" s="134">
        <v>0</v>
      </c>
      <c r="W216" t="s">
        <v>2508</v>
      </c>
    </row>
    <row r="217" spans="15:23">
      <c r="O217" t="s">
        <v>3028</v>
      </c>
      <c r="P217" s="132" t="s">
        <v>2513</v>
      </c>
      <c r="Q217" s="132">
        <v>14</v>
      </c>
      <c r="R217" s="133" t="s">
        <v>3029</v>
      </c>
      <c r="S217" t="s">
        <v>139</v>
      </c>
      <c r="T217" t="s">
        <v>2771</v>
      </c>
      <c r="U217" s="134">
        <v>0</v>
      </c>
      <c r="V217" s="134">
        <v>0</v>
      </c>
      <c r="W217" t="s">
        <v>476</v>
      </c>
    </row>
    <row r="218" spans="15:23">
      <c r="O218" t="s">
        <v>3030</v>
      </c>
      <c r="P218" s="132" t="s">
        <v>2895</v>
      </c>
      <c r="Q218" s="132">
        <v>8</v>
      </c>
      <c r="R218" s="133" t="s">
        <v>3031</v>
      </c>
      <c r="S218" t="s">
        <v>1574</v>
      </c>
      <c r="T218" t="s">
        <v>1574</v>
      </c>
      <c r="U218" s="134">
        <v>0</v>
      </c>
      <c r="V218" s="134">
        <v>0</v>
      </c>
      <c r="W218" t="s">
        <v>2508</v>
      </c>
    </row>
    <row r="219" spans="15:23">
      <c r="O219" t="s">
        <v>3032</v>
      </c>
      <c r="P219" s="132" t="s">
        <v>2895</v>
      </c>
      <c r="Q219" s="132">
        <v>9</v>
      </c>
      <c r="R219" s="133" t="s">
        <v>3033</v>
      </c>
      <c r="S219" t="s">
        <v>1574</v>
      </c>
      <c r="T219" t="s">
        <v>1574</v>
      </c>
      <c r="U219" s="134">
        <v>0</v>
      </c>
      <c r="V219" s="134">
        <v>0</v>
      </c>
      <c r="W219" t="s">
        <v>2508</v>
      </c>
    </row>
    <row r="220" spans="15:23">
      <c r="O220" t="s">
        <v>3034</v>
      </c>
      <c r="P220" s="132" t="s">
        <v>2538</v>
      </c>
      <c r="Q220" s="132">
        <v>8</v>
      </c>
      <c r="R220" s="133" t="s">
        <v>3035</v>
      </c>
      <c r="S220" t="s">
        <v>196</v>
      </c>
      <c r="T220" t="s">
        <v>3036</v>
      </c>
      <c r="U220" s="134">
        <v>0</v>
      </c>
      <c r="V220" s="134">
        <v>0</v>
      </c>
      <c r="W220" t="s">
        <v>476</v>
      </c>
    </row>
    <row r="221" spans="15:23">
      <c r="O221" t="s">
        <v>3037</v>
      </c>
      <c r="P221" s="132" t="s">
        <v>2510</v>
      </c>
      <c r="Q221" s="132">
        <v>7</v>
      </c>
      <c r="R221" s="133" t="s">
        <v>3038</v>
      </c>
      <c r="S221" t="s">
        <v>1574</v>
      </c>
      <c r="T221" t="s">
        <v>1574</v>
      </c>
      <c r="U221" s="134">
        <v>0</v>
      </c>
      <c r="V221" s="134">
        <v>0</v>
      </c>
      <c r="W221" t="s">
        <v>2503</v>
      </c>
    </row>
    <row r="222" spans="15:23">
      <c r="O222" t="s">
        <v>3039</v>
      </c>
      <c r="P222" s="132" t="s">
        <v>3040</v>
      </c>
      <c r="Q222" s="132">
        <v>1</v>
      </c>
      <c r="R222" s="133" t="s">
        <v>3041</v>
      </c>
      <c r="S222" t="s">
        <v>3042</v>
      </c>
      <c r="T222" t="s">
        <v>1574</v>
      </c>
      <c r="U222" s="134">
        <v>0</v>
      </c>
      <c r="V222" s="134">
        <v>0</v>
      </c>
      <c r="W222" t="s">
        <v>2503</v>
      </c>
    </row>
    <row r="223" spans="15:23">
      <c r="O223" t="s">
        <v>3043</v>
      </c>
      <c r="P223" s="132" t="s">
        <v>2513</v>
      </c>
      <c r="Q223" s="132">
        <v>15</v>
      </c>
      <c r="R223" s="133" t="s">
        <v>3044</v>
      </c>
      <c r="S223" t="s">
        <v>139</v>
      </c>
      <c r="T223" t="s">
        <v>1574</v>
      </c>
      <c r="U223" s="134">
        <v>0</v>
      </c>
      <c r="V223" s="134">
        <v>0</v>
      </c>
      <c r="W223" t="s">
        <v>476</v>
      </c>
    </row>
    <row r="224" spans="15:23">
      <c r="O224" t="s">
        <v>3045</v>
      </c>
      <c r="P224" s="132" t="s">
        <v>2496</v>
      </c>
      <c r="Q224" s="132">
        <v>12</v>
      </c>
      <c r="R224" s="133" t="s">
        <v>3046</v>
      </c>
      <c r="S224" t="s">
        <v>295</v>
      </c>
      <c r="T224" t="s">
        <v>296</v>
      </c>
      <c r="U224" s="134">
        <v>0</v>
      </c>
      <c r="V224" s="134">
        <v>0</v>
      </c>
      <c r="W224" t="s">
        <v>290</v>
      </c>
    </row>
    <row r="225" spans="15:23">
      <c r="O225" t="s">
        <v>3047</v>
      </c>
      <c r="P225" s="132" t="s">
        <v>2472</v>
      </c>
      <c r="Q225" s="132">
        <v>26</v>
      </c>
      <c r="R225" s="133" t="s">
        <v>3048</v>
      </c>
      <c r="S225" t="s">
        <v>218</v>
      </c>
      <c r="T225" t="s">
        <v>219</v>
      </c>
      <c r="U225" s="134">
        <v>0</v>
      </c>
      <c r="V225" s="134">
        <v>0</v>
      </c>
      <c r="W225" t="s">
        <v>122</v>
      </c>
    </row>
    <row r="226" spans="15:23">
      <c r="O226" t="s">
        <v>3049</v>
      </c>
      <c r="P226" s="132" t="s">
        <v>2522</v>
      </c>
      <c r="Q226" s="132">
        <v>10</v>
      </c>
      <c r="R226" s="133" t="s">
        <v>3050</v>
      </c>
      <c r="S226" t="s">
        <v>1574</v>
      </c>
      <c r="T226" t="s">
        <v>1574</v>
      </c>
      <c r="U226" s="134">
        <v>0</v>
      </c>
      <c r="V226" s="134">
        <v>0</v>
      </c>
      <c r="W226" t="s">
        <v>122</v>
      </c>
    </row>
    <row r="227" spans="15:23">
      <c r="O227" t="s">
        <v>3051</v>
      </c>
      <c r="P227" s="132" t="s">
        <v>2472</v>
      </c>
      <c r="Q227" s="132">
        <v>27</v>
      </c>
      <c r="R227" s="133" t="s">
        <v>3052</v>
      </c>
      <c r="S227" t="s">
        <v>1574</v>
      </c>
      <c r="T227" t="s">
        <v>1574</v>
      </c>
      <c r="U227" s="134">
        <v>0</v>
      </c>
      <c r="V227" s="134">
        <v>0</v>
      </c>
      <c r="W227" t="s">
        <v>122</v>
      </c>
    </row>
    <row r="228" spans="15:23">
      <c r="O228" t="s">
        <v>3053</v>
      </c>
      <c r="P228" s="132" t="s">
        <v>2522</v>
      </c>
      <c r="Q228" s="132">
        <v>11</v>
      </c>
      <c r="R228" s="133" t="s">
        <v>3054</v>
      </c>
      <c r="S228" t="s">
        <v>1574</v>
      </c>
      <c r="T228" t="s">
        <v>1574</v>
      </c>
      <c r="U228" s="134">
        <v>0</v>
      </c>
      <c r="V228" s="134">
        <v>0</v>
      </c>
      <c r="W228" t="s">
        <v>122</v>
      </c>
    </row>
    <row r="229" spans="15:23">
      <c r="O229" t="s">
        <v>3055</v>
      </c>
      <c r="P229" s="132" t="s">
        <v>2496</v>
      </c>
      <c r="Q229" s="132">
        <v>13</v>
      </c>
      <c r="R229" s="133" t="s">
        <v>3056</v>
      </c>
      <c r="S229" t="s">
        <v>295</v>
      </c>
      <c r="T229" t="s">
        <v>296</v>
      </c>
      <c r="U229" s="134">
        <v>0</v>
      </c>
      <c r="V229" s="134">
        <v>0</v>
      </c>
      <c r="W229" t="s">
        <v>290</v>
      </c>
    </row>
    <row r="230" spans="15:23">
      <c r="O230" t="s">
        <v>3057</v>
      </c>
      <c r="P230" s="132" t="s">
        <v>2472</v>
      </c>
      <c r="Q230" s="132">
        <v>28</v>
      </c>
      <c r="R230" s="133" t="s">
        <v>3058</v>
      </c>
      <c r="S230" t="s">
        <v>1574</v>
      </c>
      <c r="T230" t="s">
        <v>1574</v>
      </c>
      <c r="U230" s="134">
        <v>0</v>
      </c>
      <c r="V230" s="134">
        <v>0</v>
      </c>
      <c r="W230" t="s">
        <v>122</v>
      </c>
    </row>
    <row r="231" spans="15:23">
      <c r="O231" t="s">
        <v>3059</v>
      </c>
      <c r="P231" s="132" t="s">
        <v>2492</v>
      </c>
      <c r="Q231" s="132">
        <v>5</v>
      </c>
      <c r="R231" s="133" t="s">
        <v>3060</v>
      </c>
      <c r="S231" t="s">
        <v>1574</v>
      </c>
      <c r="T231" t="s">
        <v>1574</v>
      </c>
      <c r="U231" s="134">
        <v>0</v>
      </c>
      <c r="V231" s="134">
        <v>0</v>
      </c>
      <c r="W231" t="s">
        <v>122</v>
      </c>
    </row>
    <row r="232" spans="15:23">
      <c r="O232" t="s">
        <v>3061</v>
      </c>
      <c r="P232" s="132" t="s">
        <v>3062</v>
      </c>
      <c r="Q232" s="132">
        <v>1</v>
      </c>
      <c r="R232" s="133" t="s">
        <v>3063</v>
      </c>
      <c r="S232" t="s">
        <v>1574</v>
      </c>
      <c r="T232" t="s">
        <v>1574</v>
      </c>
      <c r="U232" s="134">
        <v>0</v>
      </c>
      <c r="V232" s="134">
        <v>0</v>
      </c>
      <c r="W232" t="s">
        <v>1113</v>
      </c>
    </row>
    <row r="233" spans="15:23">
      <c r="O233" t="s">
        <v>3064</v>
      </c>
      <c r="P233" s="132" t="s">
        <v>3065</v>
      </c>
      <c r="Q233" s="132">
        <v>1</v>
      </c>
      <c r="R233" s="133" t="s">
        <v>3066</v>
      </c>
      <c r="S233" t="s">
        <v>1574</v>
      </c>
      <c r="T233" t="s">
        <v>1574</v>
      </c>
      <c r="U233" s="134">
        <v>0</v>
      </c>
      <c r="V233" s="134">
        <v>0</v>
      </c>
      <c r="W233" t="s">
        <v>3067</v>
      </c>
    </row>
    <row r="234" spans="15:23">
      <c r="O234" t="s">
        <v>3068</v>
      </c>
      <c r="P234" s="132" t="s">
        <v>2431</v>
      </c>
      <c r="Q234" s="132">
        <v>5</v>
      </c>
      <c r="R234" s="133" t="s">
        <v>3069</v>
      </c>
      <c r="S234" t="s">
        <v>1574</v>
      </c>
      <c r="T234" t="s">
        <v>1574</v>
      </c>
      <c r="U234" s="134">
        <v>0</v>
      </c>
      <c r="V234" s="134">
        <v>0</v>
      </c>
      <c r="W234" t="s">
        <v>1113</v>
      </c>
    </row>
    <row r="235" spans="15:23">
      <c r="O235" t="s">
        <v>3070</v>
      </c>
      <c r="P235" s="132" t="s">
        <v>2510</v>
      </c>
      <c r="Q235" s="132">
        <v>8</v>
      </c>
      <c r="R235" s="133" t="s">
        <v>3071</v>
      </c>
      <c r="S235" t="s">
        <v>295</v>
      </c>
      <c r="T235" t="s">
        <v>296</v>
      </c>
      <c r="U235" s="134">
        <v>0</v>
      </c>
      <c r="V235" s="134">
        <v>0</v>
      </c>
      <c r="W235" t="s">
        <v>2503</v>
      </c>
    </row>
    <row r="236" spans="15:23">
      <c r="O236" t="s">
        <v>3072</v>
      </c>
      <c r="P236" s="132" t="s">
        <v>2488</v>
      </c>
      <c r="Q236" s="132">
        <v>9</v>
      </c>
      <c r="R236" s="133" t="s">
        <v>3073</v>
      </c>
      <c r="S236" t="s">
        <v>1574</v>
      </c>
      <c r="T236" t="s">
        <v>1574</v>
      </c>
      <c r="U236" s="134">
        <v>0</v>
      </c>
      <c r="V236" s="134">
        <v>0</v>
      </c>
      <c r="W236" t="s">
        <v>192</v>
      </c>
    </row>
    <row r="237" spans="15:23">
      <c r="O237" t="s">
        <v>3074</v>
      </c>
      <c r="P237" s="132" t="s">
        <v>2456</v>
      </c>
      <c r="Q237" s="132">
        <v>4</v>
      </c>
      <c r="R237" s="133" t="s">
        <v>3075</v>
      </c>
      <c r="S237" t="s">
        <v>1574</v>
      </c>
      <c r="T237" t="s">
        <v>1574</v>
      </c>
      <c r="U237" s="134">
        <v>0</v>
      </c>
      <c r="V237" s="134">
        <v>0</v>
      </c>
      <c r="W237" t="s">
        <v>192</v>
      </c>
    </row>
    <row r="238" spans="15:23">
      <c r="O238" t="s">
        <v>3076</v>
      </c>
      <c r="P238" s="132" t="s">
        <v>2874</v>
      </c>
      <c r="Q238" s="132">
        <v>2</v>
      </c>
      <c r="R238" s="133" t="s">
        <v>3077</v>
      </c>
      <c r="S238" t="s">
        <v>113</v>
      </c>
      <c r="T238" t="s">
        <v>764</v>
      </c>
      <c r="U238" s="134">
        <v>0</v>
      </c>
      <c r="V238" s="134">
        <v>0</v>
      </c>
      <c r="W238" t="s">
        <v>1973</v>
      </c>
    </row>
    <row r="239" spans="15:23">
      <c r="O239" t="s">
        <v>3078</v>
      </c>
      <c r="P239" s="132" t="s">
        <v>3079</v>
      </c>
      <c r="Q239" s="132">
        <v>1</v>
      </c>
      <c r="R239" s="133" t="s">
        <v>3080</v>
      </c>
      <c r="S239" t="s">
        <v>1574</v>
      </c>
      <c r="T239" t="s">
        <v>1574</v>
      </c>
      <c r="U239" s="134">
        <v>0</v>
      </c>
      <c r="V239" s="134">
        <v>0</v>
      </c>
      <c r="W239" t="s">
        <v>192</v>
      </c>
    </row>
    <row r="240" spans="15:23">
      <c r="O240" t="s">
        <v>3081</v>
      </c>
      <c r="P240" s="132" t="s">
        <v>3079</v>
      </c>
      <c r="Q240" s="132">
        <v>2</v>
      </c>
      <c r="R240" s="133" t="s">
        <v>3082</v>
      </c>
      <c r="S240" t="s">
        <v>1574</v>
      </c>
      <c r="T240" t="s">
        <v>1574</v>
      </c>
      <c r="U240" s="134">
        <v>0</v>
      </c>
      <c r="V240" s="134">
        <v>0</v>
      </c>
      <c r="W240" t="s">
        <v>192</v>
      </c>
    </row>
    <row r="241" spans="15:23">
      <c r="O241" t="s">
        <v>3083</v>
      </c>
      <c r="P241" s="132" t="s">
        <v>2895</v>
      </c>
      <c r="Q241" s="132">
        <v>10</v>
      </c>
      <c r="R241" s="133" t="s">
        <v>3084</v>
      </c>
      <c r="S241" t="s">
        <v>1574</v>
      </c>
      <c r="T241" t="s">
        <v>1574</v>
      </c>
      <c r="U241" s="134">
        <v>0</v>
      </c>
      <c r="V241" s="134">
        <v>0</v>
      </c>
      <c r="W241" t="s">
        <v>2508</v>
      </c>
    </row>
    <row r="242" spans="15:23">
      <c r="O242" t="s">
        <v>3085</v>
      </c>
      <c r="P242" s="132" t="s">
        <v>2488</v>
      </c>
      <c r="Q242" s="132">
        <v>10</v>
      </c>
      <c r="R242" s="133" t="s">
        <v>3086</v>
      </c>
      <c r="S242" t="s">
        <v>2721</v>
      </c>
      <c r="T242" t="s">
        <v>1574</v>
      </c>
      <c r="U242" s="134">
        <v>0</v>
      </c>
      <c r="V242" s="134">
        <v>0</v>
      </c>
      <c r="W242" t="s">
        <v>192</v>
      </c>
    </row>
    <row r="243" spans="15:23">
      <c r="O243" t="s">
        <v>3087</v>
      </c>
      <c r="P243" s="132" t="s">
        <v>2510</v>
      </c>
      <c r="Q243" s="132">
        <v>9</v>
      </c>
      <c r="R243" s="133" t="s">
        <v>3088</v>
      </c>
      <c r="S243" t="s">
        <v>342</v>
      </c>
      <c r="T243" t="s">
        <v>343</v>
      </c>
      <c r="U243" s="134">
        <v>0</v>
      </c>
      <c r="V243" s="134">
        <v>0</v>
      </c>
      <c r="W243" t="s">
        <v>2503</v>
      </c>
    </row>
    <row r="244" spans="15:23">
      <c r="O244" t="s">
        <v>3089</v>
      </c>
      <c r="P244" s="132" t="s">
        <v>2510</v>
      </c>
      <c r="Q244" s="132">
        <v>10</v>
      </c>
      <c r="R244" s="133" t="s">
        <v>3090</v>
      </c>
      <c r="S244" t="s">
        <v>1574</v>
      </c>
      <c r="T244" t="s">
        <v>1574</v>
      </c>
      <c r="U244" s="134">
        <v>0</v>
      </c>
      <c r="V244" s="134">
        <v>0</v>
      </c>
      <c r="W244" t="s">
        <v>2503</v>
      </c>
    </row>
    <row r="245" spans="15:23">
      <c r="O245" t="s">
        <v>3091</v>
      </c>
      <c r="P245" s="132" t="s">
        <v>3079</v>
      </c>
      <c r="Q245" s="132">
        <v>3</v>
      </c>
      <c r="R245" s="133" t="s">
        <v>3092</v>
      </c>
      <c r="S245" t="s">
        <v>1574</v>
      </c>
      <c r="T245" t="s">
        <v>1574</v>
      </c>
      <c r="U245" s="134">
        <v>0</v>
      </c>
      <c r="V245" s="134">
        <v>0</v>
      </c>
      <c r="W245" t="s">
        <v>192</v>
      </c>
    </row>
    <row r="246" spans="15:23">
      <c r="O246" t="s">
        <v>3093</v>
      </c>
      <c r="P246" s="132" t="s">
        <v>3079</v>
      </c>
      <c r="Q246" s="132">
        <v>4</v>
      </c>
      <c r="R246" s="133" t="s">
        <v>3094</v>
      </c>
      <c r="S246" t="s">
        <v>1574</v>
      </c>
      <c r="T246" t="s">
        <v>1574</v>
      </c>
      <c r="U246" s="134">
        <v>0</v>
      </c>
      <c r="V246" s="134">
        <v>0</v>
      </c>
      <c r="W246" t="s">
        <v>192</v>
      </c>
    </row>
    <row r="247" spans="15:23">
      <c r="O247" t="s">
        <v>3095</v>
      </c>
      <c r="P247" s="132" t="s">
        <v>2572</v>
      </c>
      <c r="Q247" s="132">
        <v>3</v>
      </c>
      <c r="R247" s="133" t="s">
        <v>3096</v>
      </c>
      <c r="S247" t="s">
        <v>1574</v>
      </c>
      <c r="T247" t="s">
        <v>1574</v>
      </c>
      <c r="U247" s="134">
        <v>0</v>
      </c>
      <c r="V247" s="134">
        <v>0</v>
      </c>
      <c r="W247" t="s">
        <v>2576</v>
      </c>
    </row>
    <row r="248" spans="15:23">
      <c r="O248" t="s">
        <v>3097</v>
      </c>
      <c r="P248" s="132" t="s">
        <v>2439</v>
      </c>
      <c r="Q248" s="132">
        <v>19</v>
      </c>
      <c r="R248" s="133" t="s">
        <v>3098</v>
      </c>
      <c r="S248" t="s">
        <v>1574</v>
      </c>
      <c r="T248" t="s">
        <v>1574</v>
      </c>
      <c r="U248" s="134">
        <v>0</v>
      </c>
      <c r="V248" s="134">
        <v>0</v>
      </c>
      <c r="W248" t="s">
        <v>239</v>
      </c>
    </row>
    <row r="249" spans="15:23">
      <c r="O249" t="s">
        <v>3099</v>
      </c>
      <c r="P249" s="132" t="s">
        <v>3079</v>
      </c>
      <c r="Q249" s="132">
        <v>5</v>
      </c>
      <c r="R249" s="133" t="s">
        <v>3100</v>
      </c>
      <c r="S249" t="s">
        <v>1834</v>
      </c>
      <c r="T249" t="s">
        <v>3101</v>
      </c>
      <c r="U249" s="134">
        <v>0</v>
      </c>
      <c r="V249" s="134">
        <v>0</v>
      </c>
      <c r="W249" t="s">
        <v>192</v>
      </c>
    </row>
    <row r="250" spans="15:23">
      <c r="O250" t="s">
        <v>3102</v>
      </c>
      <c r="P250" s="132" t="s">
        <v>2895</v>
      </c>
      <c r="Q250" s="132">
        <v>11</v>
      </c>
      <c r="R250" s="133" t="s">
        <v>3103</v>
      </c>
      <c r="S250" t="s">
        <v>1574</v>
      </c>
      <c r="T250" t="s">
        <v>1574</v>
      </c>
      <c r="U250" s="134">
        <v>0</v>
      </c>
      <c r="V250" s="134">
        <v>0</v>
      </c>
      <c r="W250" t="s">
        <v>2508</v>
      </c>
    </row>
    <row r="251" spans="15:23">
      <c r="O251" t="s">
        <v>3104</v>
      </c>
      <c r="P251" s="132" t="s">
        <v>2895</v>
      </c>
      <c r="Q251" s="132">
        <v>12</v>
      </c>
      <c r="R251" s="133" t="s">
        <v>3105</v>
      </c>
      <c r="S251" t="s">
        <v>1574</v>
      </c>
      <c r="T251" t="s">
        <v>1574</v>
      </c>
      <c r="U251" s="134">
        <v>0</v>
      </c>
      <c r="V251" s="134">
        <v>0</v>
      </c>
      <c r="W251" t="s">
        <v>2508</v>
      </c>
    </row>
    <row r="252" spans="15:23">
      <c r="O252" t="s">
        <v>3106</v>
      </c>
      <c r="P252" s="132" t="s">
        <v>2483</v>
      </c>
      <c r="Q252" s="132">
        <v>12</v>
      </c>
      <c r="R252" s="133" t="s">
        <v>3107</v>
      </c>
      <c r="S252" t="s">
        <v>1574</v>
      </c>
      <c r="T252" t="s">
        <v>1574</v>
      </c>
      <c r="U252" s="134">
        <v>0</v>
      </c>
      <c r="V252" s="134">
        <v>0</v>
      </c>
      <c r="W252" t="s">
        <v>122</v>
      </c>
    </row>
    <row r="253" spans="15:23">
      <c r="O253" t="s">
        <v>3108</v>
      </c>
      <c r="P253" s="132" t="s">
        <v>2483</v>
      </c>
      <c r="Q253" s="132">
        <v>13</v>
      </c>
      <c r="R253" s="133" t="s">
        <v>3109</v>
      </c>
      <c r="S253" t="s">
        <v>1574</v>
      </c>
      <c r="T253" t="s">
        <v>1574</v>
      </c>
      <c r="U253" s="134">
        <v>0</v>
      </c>
      <c r="V253" s="134">
        <v>0</v>
      </c>
      <c r="W253" t="s">
        <v>122</v>
      </c>
    </row>
    <row r="254" spans="15:23">
      <c r="O254" t="s">
        <v>3110</v>
      </c>
      <c r="P254" s="132" t="s">
        <v>3111</v>
      </c>
      <c r="Q254" s="132">
        <v>1</v>
      </c>
      <c r="R254" s="133" t="s">
        <v>3112</v>
      </c>
      <c r="S254" t="s">
        <v>1934</v>
      </c>
      <c r="T254" t="s">
        <v>2686</v>
      </c>
      <c r="U254" s="134">
        <v>0</v>
      </c>
      <c r="V254" s="134">
        <v>0</v>
      </c>
      <c r="W254" t="s">
        <v>1481</v>
      </c>
    </row>
    <row r="255" spans="15:23">
      <c r="O255" t="s">
        <v>3113</v>
      </c>
      <c r="P255" s="132" t="s">
        <v>2461</v>
      </c>
      <c r="Q255" s="132">
        <v>6</v>
      </c>
      <c r="R255" s="133" t="s">
        <v>3114</v>
      </c>
      <c r="S255" t="s">
        <v>1218</v>
      </c>
      <c r="T255" t="s">
        <v>3115</v>
      </c>
      <c r="U255" s="134">
        <v>0</v>
      </c>
      <c r="V255" s="134">
        <v>0</v>
      </c>
      <c r="W255" t="s">
        <v>192</v>
      </c>
    </row>
    <row r="256" spans="15:23">
      <c r="O256" t="s">
        <v>3116</v>
      </c>
      <c r="P256" s="132" t="s">
        <v>2439</v>
      </c>
      <c r="Q256" s="132">
        <v>20</v>
      </c>
      <c r="R256" s="133" t="s">
        <v>3117</v>
      </c>
      <c r="S256" t="s">
        <v>1574</v>
      </c>
      <c r="T256" t="s">
        <v>1574</v>
      </c>
      <c r="U256" s="134">
        <v>0</v>
      </c>
      <c r="V256" s="134">
        <v>0</v>
      </c>
      <c r="W256" t="s">
        <v>239</v>
      </c>
    </row>
    <row r="257" spans="15:23">
      <c r="O257" t="s">
        <v>3118</v>
      </c>
      <c r="P257" s="132" t="s">
        <v>2439</v>
      </c>
      <c r="Q257" s="132">
        <v>21</v>
      </c>
      <c r="R257" s="133" t="s">
        <v>3119</v>
      </c>
      <c r="S257" t="s">
        <v>1574</v>
      </c>
      <c r="T257" t="s">
        <v>1574</v>
      </c>
      <c r="U257" s="134">
        <v>0</v>
      </c>
      <c r="V257" s="134">
        <v>0</v>
      </c>
      <c r="W257" t="s">
        <v>239</v>
      </c>
    </row>
    <row r="258" spans="15:23">
      <c r="O258" t="s">
        <v>3120</v>
      </c>
      <c r="P258" s="132" t="s">
        <v>2439</v>
      </c>
      <c r="Q258" s="132">
        <v>22</v>
      </c>
      <c r="R258" s="133" t="s">
        <v>3121</v>
      </c>
      <c r="S258" t="s">
        <v>1574</v>
      </c>
      <c r="T258" t="s">
        <v>1574</v>
      </c>
      <c r="U258" s="134">
        <v>0</v>
      </c>
      <c r="V258" s="134">
        <v>0</v>
      </c>
      <c r="W258" t="s">
        <v>239</v>
      </c>
    </row>
    <row r="259" spans="15:23">
      <c r="O259" t="s">
        <v>3122</v>
      </c>
      <c r="P259" s="132" t="s">
        <v>2439</v>
      </c>
      <c r="Q259" s="132">
        <v>23</v>
      </c>
      <c r="R259" s="133" t="s">
        <v>3123</v>
      </c>
      <c r="S259" t="s">
        <v>1574</v>
      </c>
      <c r="T259" t="s">
        <v>1574</v>
      </c>
      <c r="U259" s="134">
        <v>0</v>
      </c>
      <c r="V259" s="134">
        <v>0</v>
      </c>
      <c r="W259" t="s">
        <v>239</v>
      </c>
    </row>
    <row r="260" spans="15:23">
      <c r="O260" t="s">
        <v>3124</v>
      </c>
      <c r="P260" s="132" t="s">
        <v>2439</v>
      </c>
      <c r="Q260" s="132">
        <v>24</v>
      </c>
      <c r="R260" s="133" t="s">
        <v>3125</v>
      </c>
      <c r="S260" t="s">
        <v>1574</v>
      </c>
      <c r="T260" t="s">
        <v>1574</v>
      </c>
      <c r="U260" s="134">
        <v>0</v>
      </c>
      <c r="V260" s="134">
        <v>0</v>
      </c>
      <c r="W260" t="s">
        <v>239</v>
      </c>
    </row>
    <row r="261" spans="15:23">
      <c r="O261" t="s">
        <v>3126</v>
      </c>
      <c r="P261" s="132" t="s">
        <v>2439</v>
      </c>
      <c r="Q261" s="132">
        <v>25</v>
      </c>
      <c r="R261" s="133" t="s">
        <v>3127</v>
      </c>
      <c r="S261" t="s">
        <v>1574</v>
      </c>
      <c r="T261" t="s">
        <v>1574</v>
      </c>
      <c r="U261" s="134">
        <v>0</v>
      </c>
      <c r="V261" s="134">
        <v>0</v>
      </c>
      <c r="W261" t="s">
        <v>239</v>
      </c>
    </row>
    <row r="262" spans="15:23">
      <c r="O262" t="s">
        <v>3128</v>
      </c>
      <c r="P262" s="132" t="s">
        <v>2439</v>
      </c>
      <c r="Q262" s="132">
        <v>26</v>
      </c>
      <c r="R262" s="133" t="s">
        <v>3129</v>
      </c>
      <c r="S262" t="s">
        <v>1574</v>
      </c>
      <c r="T262" t="s">
        <v>1574</v>
      </c>
      <c r="U262" s="134">
        <v>0</v>
      </c>
      <c r="V262" s="134">
        <v>0</v>
      </c>
      <c r="W262" t="s">
        <v>239</v>
      </c>
    </row>
    <row r="263" spans="15:23">
      <c r="O263" t="s">
        <v>3130</v>
      </c>
      <c r="P263" s="132" t="s">
        <v>2510</v>
      </c>
      <c r="Q263" s="132">
        <v>11</v>
      </c>
      <c r="R263" s="133" t="s">
        <v>3131</v>
      </c>
      <c r="S263" t="s">
        <v>295</v>
      </c>
      <c r="T263" t="s">
        <v>296</v>
      </c>
      <c r="U263" s="134">
        <v>0</v>
      </c>
      <c r="V263" s="134">
        <v>0</v>
      </c>
      <c r="W263" t="s">
        <v>2503</v>
      </c>
    </row>
    <row r="264" spans="15:23">
      <c r="O264" t="s">
        <v>3132</v>
      </c>
      <c r="P264" s="132" t="s">
        <v>2510</v>
      </c>
      <c r="Q264" s="132">
        <v>12</v>
      </c>
      <c r="R264" s="133" t="s">
        <v>3133</v>
      </c>
      <c r="S264" t="s">
        <v>295</v>
      </c>
      <c r="T264" t="s">
        <v>296</v>
      </c>
      <c r="U264" s="134">
        <v>0</v>
      </c>
      <c r="V264" s="134">
        <v>0</v>
      </c>
      <c r="W264" t="s">
        <v>2503</v>
      </c>
    </row>
    <row r="265" spans="15:23">
      <c r="O265" t="s">
        <v>3134</v>
      </c>
      <c r="P265" s="132" t="s">
        <v>2655</v>
      </c>
      <c r="Q265" s="132">
        <v>3</v>
      </c>
      <c r="R265" s="133" t="s">
        <v>3135</v>
      </c>
      <c r="S265" t="s">
        <v>253</v>
      </c>
      <c r="T265" t="s">
        <v>1574</v>
      </c>
      <c r="U265" s="134">
        <v>0</v>
      </c>
      <c r="V265" s="134">
        <v>0</v>
      </c>
      <c r="W265" t="s">
        <v>2116</v>
      </c>
    </row>
    <row r="266" spans="15:23">
      <c r="O266" t="s">
        <v>3136</v>
      </c>
      <c r="P266" s="132" t="s">
        <v>2513</v>
      </c>
      <c r="Q266" s="132">
        <v>16</v>
      </c>
      <c r="R266" s="133" t="s">
        <v>3137</v>
      </c>
      <c r="S266" t="s">
        <v>139</v>
      </c>
      <c r="T266" t="s">
        <v>2171</v>
      </c>
      <c r="U266" s="134">
        <v>0</v>
      </c>
      <c r="V266" s="134">
        <v>0</v>
      </c>
      <c r="W266" t="s">
        <v>476</v>
      </c>
    </row>
    <row r="267" spans="15:23">
      <c r="O267" t="s">
        <v>3138</v>
      </c>
      <c r="P267" s="132" t="s">
        <v>2513</v>
      </c>
      <c r="Q267" s="132">
        <v>17</v>
      </c>
      <c r="R267" s="133" t="s">
        <v>3139</v>
      </c>
      <c r="S267" t="s">
        <v>139</v>
      </c>
      <c r="T267" t="s">
        <v>2540</v>
      </c>
      <c r="U267" s="134">
        <v>0</v>
      </c>
      <c r="V267" s="134">
        <v>0</v>
      </c>
      <c r="W267" t="s">
        <v>476</v>
      </c>
    </row>
    <row r="268" spans="15:23">
      <c r="O268" t="s">
        <v>3140</v>
      </c>
      <c r="P268" s="132" t="s">
        <v>2456</v>
      </c>
      <c r="Q268" s="132">
        <v>5</v>
      </c>
      <c r="R268" s="133" t="s">
        <v>3141</v>
      </c>
      <c r="S268" t="s">
        <v>2547</v>
      </c>
      <c r="T268" t="s">
        <v>681</v>
      </c>
      <c r="U268" s="134">
        <v>0</v>
      </c>
      <c r="V268" s="134">
        <v>0</v>
      </c>
      <c r="W268" t="s">
        <v>192</v>
      </c>
    </row>
    <row r="269" spans="15:23">
      <c r="O269" t="s">
        <v>3142</v>
      </c>
      <c r="P269" s="132" t="s">
        <v>2538</v>
      </c>
      <c r="Q269" s="132">
        <v>9</v>
      </c>
      <c r="R269" s="133" t="s">
        <v>3143</v>
      </c>
      <c r="S269" t="s">
        <v>139</v>
      </c>
      <c r="T269" t="s">
        <v>3144</v>
      </c>
      <c r="U269" s="134">
        <v>0</v>
      </c>
      <c r="V269" s="134">
        <v>0</v>
      </c>
      <c r="W269" t="s">
        <v>476</v>
      </c>
    </row>
    <row r="270" spans="15:23">
      <c r="O270" t="s">
        <v>3145</v>
      </c>
      <c r="P270" s="132" t="s">
        <v>2510</v>
      </c>
      <c r="Q270" s="132">
        <v>13</v>
      </c>
      <c r="R270" s="133" t="s">
        <v>3146</v>
      </c>
      <c r="S270" t="s">
        <v>295</v>
      </c>
      <c r="T270" t="s">
        <v>296</v>
      </c>
      <c r="U270" s="134">
        <v>0</v>
      </c>
      <c r="V270" s="134">
        <v>0</v>
      </c>
      <c r="W270" t="s">
        <v>2503</v>
      </c>
    </row>
  </sheetData>
  <mergeCells count="3">
    <mergeCell ref="I15:J15"/>
    <mergeCell ref="I16:J16"/>
    <mergeCell ref="H14:J14"/>
  </mergeCells>
  <dataValidations count="2">
    <dataValidation type="list" allowBlank="1" showInputMessage="1" showErrorMessage="1" sqref="H15" xr:uid="{D9B5E049-8293-427E-B802-B333F1B7D554}">
      <formula1>$D$4:$D$72</formula1>
    </dataValidation>
    <dataValidation type="list" allowBlank="1" showInputMessage="1" showErrorMessage="1" sqref="I15:J15" xr:uid="{C12A001F-984F-4E56-A107-0DE8840BAC5A}">
      <formula1>$K$4:$K$13</formula1>
    </dataValidation>
  </dataValidations>
  <pageMargins left="0.511811024" right="0.511811024" top="0.78740157499999996" bottom="0.78740157499999996" header="0.31496062000000002" footer="0.31496062000000002"/>
  <pageSetup paperSize="9" orientation="portrait" r:id="rId1"/>
  <tableParts count="4">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9CB9D-F228-4574-9714-19441B4908DD}">
  <dimension ref="A1:BH512"/>
  <sheetViews>
    <sheetView tabSelected="1" zoomScale="104" zoomScaleNormal="104" workbookViewId="0">
      <pane xSplit="2" ySplit="3" topLeftCell="C19" activePane="bottomRight" state="frozen"/>
      <selection pane="topRight" activeCell="C1" sqref="C1"/>
      <selection pane="bottomLeft" activeCell="A2" sqref="A2"/>
      <selection pane="bottomRight" activeCell="A106" sqref="A106"/>
    </sheetView>
  </sheetViews>
  <sheetFormatPr defaultColWidth="8.7109375" defaultRowHeight="12.75" customHeight="1"/>
  <cols>
    <col min="1" max="1" width="11.5703125" style="4" customWidth="1"/>
    <col min="2" max="2" width="42.42578125" style="4" customWidth="1"/>
    <col min="3" max="3" width="9.7109375" style="4" customWidth="1"/>
    <col min="4" max="4" width="16.5703125" style="52" customWidth="1"/>
    <col min="5" max="5" width="14.5703125" style="52" customWidth="1"/>
    <col min="6" max="6" width="12.140625" style="52" customWidth="1"/>
    <col min="7" max="7" width="17.42578125" style="4" customWidth="1"/>
    <col min="8" max="8" width="14.42578125" style="4" customWidth="1"/>
    <col min="9" max="9" width="17.140625" style="52" customWidth="1"/>
    <col min="10" max="10" width="13.28515625" style="4" customWidth="1"/>
    <col min="11" max="11" width="12.140625" style="4" customWidth="1"/>
    <col min="12" max="13" width="11.85546875" style="4" customWidth="1"/>
    <col min="14" max="15" width="11.85546875" style="8" customWidth="1"/>
    <col min="16" max="16" width="12.42578125" style="4" customWidth="1"/>
    <col min="17" max="17" width="13.85546875" style="4" customWidth="1"/>
    <col min="18" max="18" width="12" style="4" customWidth="1"/>
    <col min="19" max="20" width="12.42578125" style="4" customWidth="1"/>
    <col min="21" max="21" width="12.42578125" style="180" customWidth="1"/>
    <col min="22" max="23" width="12.42578125" style="4" customWidth="1"/>
    <col min="24" max="24" width="13.42578125" style="4" customWidth="1"/>
    <col min="25" max="25" width="12.7109375" style="4" customWidth="1"/>
    <col min="26" max="26" width="17.28515625" style="181" customWidth="1"/>
    <col min="27" max="27" width="11.5703125" style="181" customWidth="1"/>
    <col min="28" max="29" width="20.5703125" style="181" customWidth="1"/>
    <col min="30" max="30" width="13.140625" style="182" customWidth="1"/>
    <col min="31" max="31" width="12" style="181" customWidth="1"/>
    <col min="32" max="32" width="8.28515625" style="8" customWidth="1"/>
    <col min="33" max="33" width="14.140625" style="8" customWidth="1"/>
    <col min="34" max="34" width="9.28515625" style="8" customWidth="1"/>
    <col min="35" max="35" width="11.140625" style="8" customWidth="1"/>
    <col min="36" max="36" width="8.42578125" style="8" customWidth="1"/>
    <col min="37" max="37" width="11.85546875" style="8" customWidth="1"/>
    <col min="38" max="39" width="9.28515625" style="8" customWidth="1"/>
    <col min="40" max="40" width="9.85546875" style="8" customWidth="1"/>
    <col min="41" max="42" width="11.140625" style="61" customWidth="1"/>
    <col min="43" max="44" width="15.5703125" style="61" customWidth="1"/>
    <col min="45" max="47" width="15.5703125" style="11" customWidth="1"/>
    <col min="48" max="48" width="15.5703125" style="201" customWidth="1"/>
    <col min="49" max="49" width="19" style="201" customWidth="1"/>
    <col min="50" max="50" width="21.28515625" style="201" customWidth="1"/>
    <col min="51" max="53" width="19" style="206" customWidth="1"/>
    <col min="54" max="54" width="15" style="4" customWidth="1"/>
    <col min="55" max="55" width="15.28515625" style="1" customWidth="1"/>
    <col min="56" max="57" width="8.7109375" style="1" customWidth="1"/>
    <col min="58" max="16384" width="8.7109375" style="1"/>
  </cols>
  <sheetData>
    <row r="1" spans="1:60" ht="18" customHeight="1">
      <c r="A1" s="226" t="s">
        <v>34</v>
      </c>
      <c r="B1" s="226"/>
      <c r="C1" s="226"/>
      <c r="D1" s="226"/>
      <c r="E1" s="226"/>
      <c r="F1" s="226"/>
      <c r="G1" s="226"/>
      <c r="H1" s="226"/>
      <c r="I1" s="226"/>
      <c r="J1" s="226"/>
      <c r="K1" s="226"/>
      <c r="L1" s="226"/>
      <c r="M1" s="226"/>
      <c r="N1" s="226"/>
      <c r="O1" s="226"/>
      <c r="P1" s="226"/>
      <c r="Q1" s="226"/>
      <c r="R1" s="226"/>
      <c r="S1" s="226"/>
      <c r="T1" s="226"/>
      <c r="U1" s="226"/>
      <c r="V1" s="226"/>
      <c r="W1" s="226"/>
      <c r="X1" s="226"/>
      <c r="Y1" s="226"/>
      <c r="Z1" s="225" t="s">
        <v>35</v>
      </c>
      <c r="AA1" s="225"/>
      <c r="AB1" s="225"/>
      <c r="AC1" s="225"/>
      <c r="AD1" s="225"/>
      <c r="AE1" s="225"/>
      <c r="AF1" s="237" t="s">
        <v>36</v>
      </c>
      <c r="AG1" s="237"/>
      <c r="AH1" s="237"/>
      <c r="AI1" s="237"/>
      <c r="AJ1" s="237"/>
      <c r="AK1" s="237"/>
      <c r="AL1" s="237"/>
      <c r="AM1" s="237"/>
      <c r="AN1" s="237"/>
      <c r="AO1" s="235" t="s">
        <v>37</v>
      </c>
      <c r="AP1" s="235"/>
      <c r="AQ1" s="235"/>
      <c r="AR1" s="236"/>
      <c r="AS1" s="232" t="s">
        <v>38</v>
      </c>
      <c r="AT1" s="233"/>
      <c r="AU1" s="234"/>
      <c r="AV1" s="230" t="s">
        <v>39</v>
      </c>
      <c r="AW1" s="231"/>
      <c r="AX1" s="231"/>
      <c r="AY1" s="228" t="s">
        <v>40</v>
      </c>
      <c r="AZ1" s="228"/>
      <c r="BA1" s="228"/>
      <c r="BB1" s="229" t="s">
        <v>41</v>
      </c>
      <c r="BC1" s="229"/>
      <c r="BD1" s="229"/>
    </row>
    <row r="2" spans="1:60" ht="18" customHeight="1">
      <c r="A2" s="227"/>
      <c r="B2" s="227"/>
      <c r="C2" s="227"/>
      <c r="D2" s="227"/>
      <c r="E2" s="227"/>
      <c r="F2" s="227"/>
      <c r="G2" s="227"/>
      <c r="H2" s="227"/>
      <c r="I2" s="227"/>
      <c r="J2" s="227"/>
      <c r="K2" s="227"/>
      <c r="L2" s="227"/>
      <c r="M2" s="227"/>
      <c r="N2" s="227"/>
      <c r="O2" s="227"/>
      <c r="P2" s="227"/>
      <c r="Q2" s="227"/>
      <c r="R2" s="227"/>
      <c r="S2" s="227"/>
      <c r="T2" s="227"/>
      <c r="U2" s="227"/>
      <c r="V2" s="227"/>
      <c r="W2" s="227"/>
      <c r="X2" s="227"/>
      <c r="Y2" s="227"/>
      <c r="Z2" s="225"/>
      <c r="AA2" s="225"/>
      <c r="AB2" s="225"/>
      <c r="AC2" s="225"/>
      <c r="AD2" s="225"/>
      <c r="AE2" s="225"/>
      <c r="AF2" s="102" t="s">
        <v>42</v>
      </c>
      <c r="AG2" s="102">
        <v>0.4</v>
      </c>
      <c r="AH2" s="102"/>
      <c r="AI2" s="102">
        <v>0.3</v>
      </c>
      <c r="AJ2" s="102"/>
      <c r="AK2" s="102">
        <v>0.2</v>
      </c>
      <c r="AL2" s="102"/>
      <c r="AM2" s="102">
        <v>0.1</v>
      </c>
      <c r="AN2" s="145"/>
      <c r="AO2" s="235"/>
      <c r="AP2" s="235"/>
      <c r="AQ2" s="235"/>
      <c r="AR2" s="236"/>
      <c r="AS2" s="232"/>
      <c r="AT2" s="233"/>
      <c r="AU2" s="234"/>
      <c r="AV2" s="230"/>
      <c r="AW2" s="231"/>
      <c r="AX2" s="231"/>
      <c r="AY2" s="228"/>
      <c r="AZ2" s="228"/>
      <c r="BA2" s="228"/>
      <c r="BB2" s="229"/>
      <c r="BC2" s="229"/>
      <c r="BD2" s="229"/>
    </row>
    <row r="3" spans="1:60" s="6" customFormat="1" ht="42">
      <c r="A3" s="31" t="s">
        <v>43</v>
      </c>
      <c r="B3" s="32" t="s">
        <v>44</v>
      </c>
      <c r="C3" s="32" t="s">
        <v>45</v>
      </c>
      <c r="D3" s="32" t="s">
        <v>46</v>
      </c>
      <c r="E3" s="32" t="s">
        <v>47</v>
      </c>
      <c r="F3" s="32" t="s">
        <v>48</v>
      </c>
      <c r="G3" s="32" t="s">
        <v>49</v>
      </c>
      <c r="H3" s="32" t="s">
        <v>50</v>
      </c>
      <c r="I3" s="148" t="s">
        <v>51</v>
      </c>
      <c r="J3" s="32" t="s">
        <v>52</v>
      </c>
      <c r="K3" s="32" t="s">
        <v>53</v>
      </c>
      <c r="L3" s="34" t="s">
        <v>54</v>
      </c>
      <c r="M3" s="34" t="s">
        <v>55</v>
      </c>
      <c r="N3" s="34" t="s">
        <v>56</v>
      </c>
      <c r="O3" s="34" t="s">
        <v>57</v>
      </c>
      <c r="P3" s="148" t="s">
        <v>58</v>
      </c>
      <c r="Q3" s="148" t="s">
        <v>59</v>
      </c>
      <c r="R3" s="32" t="s">
        <v>60</v>
      </c>
      <c r="S3" s="32" t="s">
        <v>61</v>
      </c>
      <c r="T3" s="32" t="s">
        <v>62</v>
      </c>
      <c r="U3" s="32" t="s">
        <v>63</v>
      </c>
      <c r="V3" s="32" t="s">
        <v>64</v>
      </c>
      <c r="W3" s="32" t="s">
        <v>65</v>
      </c>
      <c r="X3" s="32" t="s">
        <v>66</v>
      </c>
      <c r="Y3" s="32" t="s">
        <v>67</v>
      </c>
      <c r="Z3" s="33" t="s">
        <v>68</v>
      </c>
      <c r="AA3" s="33" t="s">
        <v>69</v>
      </c>
      <c r="AB3" s="33" t="s">
        <v>70</v>
      </c>
      <c r="AC3" s="33" t="s">
        <v>71</v>
      </c>
      <c r="AD3" s="33" t="s">
        <v>72</v>
      </c>
      <c r="AE3" s="33" t="s">
        <v>73</v>
      </c>
      <c r="AF3" s="34" t="s">
        <v>74</v>
      </c>
      <c r="AG3" s="34" t="s">
        <v>75</v>
      </c>
      <c r="AH3" s="34" t="s">
        <v>76</v>
      </c>
      <c r="AI3" s="34" t="s">
        <v>77</v>
      </c>
      <c r="AJ3" s="34" t="s">
        <v>78</v>
      </c>
      <c r="AK3" s="34" t="s">
        <v>79</v>
      </c>
      <c r="AL3" s="34" t="s">
        <v>80</v>
      </c>
      <c r="AM3" s="34" t="s">
        <v>81</v>
      </c>
      <c r="AN3" s="34" t="s">
        <v>82</v>
      </c>
      <c r="AO3" s="103" t="s">
        <v>83</v>
      </c>
      <c r="AP3" s="103" t="s">
        <v>84</v>
      </c>
      <c r="AQ3" s="103" t="s">
        <v>85</v>
      </c>
      <c r="AR3" s="103" t="s">
        <v>86</v>
      </c>
      <c r="AS3" s="35" t="s">
        <v>87</v>
      </c>
      <c r="AT3" s="35" t="s">
        <v>88</v>
      </c>
      <c r="AU3" s="35" t="s">
        <v>89</v>
      </c>
      <c r="AV3" s="34" t="s">
        <v>90</v>
      </c>
      <c r="AW3" s="34" t="s">
        <v>91</v>
      </c>
      <c r="AX3" s="34" t="s">
        <v>92</v>
      </c>
      <c r="AY3" s="146" t="s">
        <v>93</v>
      </c>
      <c r="AZ3" s="146" t="s">
        <v>94</v>
      </c>
      <c r="BA3" s="146" t="s">
        <v>95</v>
      </c>
      <c r="BB3" s="36" t="s">
        <v>96</v>
      </c>
      <c r="BC3" s="36" t="s">
        <v>97</v>
      </c>
      <c r="BD3" s="36" t="s">
        <v>98</v>
      </c>
      <c r="BE3" s="35" t="s">
        <v>99</v>
      </c>
      <c r="BF3" s="35" t="s">
        <v>100</v>
      </c>
      <c r="BG3" s="188" t="s">
        <v>101</v>
      </c>
      <c r="BH3" s="188" t="s">
        <v>102</v>
      </c>
    </row>
    <row r="4" spans="1:60" ht="30" hidden="1" customHeight="1">
      <c r="A4" s="115" t="s">
        <v>103</v>
      </c>
      <c r="B4" s="116" t="s">
        <v>104</v>
      </c>
      <c r="C4" s="116" t="s">
        <v>105</v>
      </c>
      <c r="D4" s="117" t="s">
        <v>106</v>
      </c>
      <c r="E4" s="117" t="s">
        <v>107</v>
      </c>
      <c r="F4" s="117" t="s">
        <v>108</v>
      </c>
      <c r="G4" s="116"/>
      <c r="H4" s="116"/>
      <c r="I4" s="117" t="s">
        <v>109</v>
      </c>
      <c r="J4" s="5" t="s">
        <v>110</v>
      </c>
      <c r="K4" s="5">
        <v>1</v>
      </c>
      <c r="L4" s="5" t="s">
        <v>110</v>
      </c>
      <c r="M4" s="5">
        <v>1</v>
      </c>
      <c r="N4" s="7"/>
      <c r="O4" s="7"/>
      <c r="P4" s="5" t="s">
        <v>111</v>
      </c>
      <c r="Q4" s="5">
        <v>1</v>
      </c>
      <c r="R4" s="5" t="s">
        <v>112</v>
      </c>
      <c r="S4" s="5">
        <v>3</v>
      </c>
      <c r="T4" s="5" t="s">
        <v>113</v>
      </c>
      <c r="U4" s="41" t="s">
        <v>114</v>
      </c>
      <c r="V4" s="5"/>
      <c r="W4" s="174">
        <v>45676</v>
      </c>
      <c r="X4" s="174">
        <v>45683</v>
      </c>
      <c r="Y4" s="5" t="s">
        <v>115</v>
      </c>
      <c r="Z4" s="3" t="s">
        <v>116</v>
      </c>
      <c r="AA4" s="2" t="s">
        <v>117</v>
      </c>
      <c r="AB4" s="3" t="s">
        <v>118</v>
      </c>
      <c r="AC4" s="3" t="s">
        <v>119</v>
      </c>
      <c r="AD4" s="50"/>
      <c r="AE4" s="50"/>
      <c r="AF4" s="12">
        <f t="shared" ref="AF4:AF66" si="0">AG4*$AG$2+AI4*$AI$2+AK4*$AK$2+AM4*$AM$2</f>
        <v>70</v>
      </c>
      <c r="AG4" s="7">
        <v>80</v>
      </c>
      <c r="AH4" s="7"/>
      <c r="AI4" s="7">
        <v>60</v>
      </c>
      <c r="AJ4" s="7"/>
      <c r="AK4" s="7">
        <v>60</v>
      </c>
      <c r="AL4" s="7"/>
      <c r="AM4" s="7">
        <v>80</v>
      </c>
      <c r="AN4" s="7"/>
      <c r="AO4" s="63">
        <v>5.8</v>
      </c>
      <c r="AP4" s="58">
        <v>1600</v>
      </c>
      <c r="AQ4" s="58">
        <v>390</v>
      </c>
      <c r="AR4" s="58">
        <v>390</v>
      </c>
      <c r="AS4" s="30">
        <v>13572</v>
      </c>
      <c r="AT4" s="30"/>
      <c r="AU4" s="30">
        <v>13572</v>
      </c>
      <c r="AV4" s="197">
        <v>13572</v>
      </c>
      <c r="AW4" s="197"/>
      <c r="AX4" s="197">
        <v>13572</v>
      </c>
      <c r="AY4" s="202">
        <f>16240.79+70.1</f>
        <v>16310.890000000001</v>
      </c>
      <c r="AZ4" s="202">
        <v>10727.61</v>
      </c>
      <c r="BA4" s="202">
        <f>16240.79+70.1</f>
        <v>16310.890000000001</v>
      </c>
      <c r="BB4" s="189" t="s">
        <v>120</v>
      </c>
      <c r="BC4" s="189" t="s">
        <v>121</v>
      </c>
      <c r="BD4" s="190">
        <v>3</v>
      </c>
      <c r="BE4" s="49"/>
      <c r="BF4" s="185"/>
      <c r="BG4" s="183"/>
      <c r="BH4" s="183"/>
    </row>
    <row r="5" spans="1:60" ht="31.5" hidden="1" customHeight="1">
      <c r="A5" s="115" t="s">
        <v>122</v>
      </c>
      <c r="B5" s="116" t="s">
        <v>123</v>
      </c>
      <c r="C5" s="116" t="s">
        <v>124</v>
      </c>
      <c r="D5" s="117" t="s">
        <v>125</v>
      </c>
      <c r="E5" s="117" t="s">
        <v>126</v>
      </c>
      <c r="F5" s="117" t="s">
        <v>127</v>
      </c>
      <c r="G5" s="116" t="s">
        <v>128</v>
      </c>
      <c r="H5" s="116"/>
      <c r="I5" s="117" t="s">
        <v>129</v>
      </c>
      <c r="J5" s="5" t="s">
        <v>110</v>
      </c>
      <c r="K5" s="5">
        <v>0</v>
      </c>
      <c r="L5" s="5" t="s">
        <v>110</v>
      </c>
      <c r="M5" s="5">
        <v>0</v>
      </c>
      <c r="N5" s="7" t="s">
        <v>115</v>
      </c>
      <c r="O5" s="7">
        <v>1</v>
      </c>
      <c r="P5" s="5" t="s">
        <v>111</v>
      </c>
      <c r="Q5" s="5">
        <v>0</v>
      </c>
      <c r="R5" s="5" t="s">
        <v>130</v>
      </c>
      <c r="S5" s="5">
        <v>2</v>
      </c>
      <c r="T5" s="5" t="s">
        <v>130</v>
      </c>
      <c r="U5" s="5" t="s">
        <v>130</v>
      </c>
      <c r="V5" s="5"/>
      <c r="W5" s="175">
        <v>45666</v>
      </c>
      <c r="X5" s="175">
        <v>45667</v>
      </c>
      <c r="Y5" s="5" t="s">
        <v>115</v>
      </c>
      <c r="Z5" s="3" t="s">
        <v>116</v>
      </c>
      <c r="AA5" s="3" t="s">
        <v>131</v>
      </c>
      <c r="AB5" s="3" t="s">
        <v>118</v>
      </c>
      <c r="AC5" s="3" t="s">
        <v>132</v>
      </c>
      <c r="AD5" s="3"/>
      <c r="AE5" s="3"/>
      <c r="AF5" s="12">
        <f t="shared" si="0"/>
        <v>72</v>
      </c>
      <c r="AG5" s="7">
        <v>80</v>
      </c>
      <c r="AH5" s="7"/>
      <c r="AI5" s="7">
        <v>80</v>
      </c>
      <c r="AJ5" s="7" t="s">
        <v>133</v>
      </c>
      <c r="AK5" s="7">
        <v>40</v>
      </c>
      <c r="AL5" s="7"/>
      <c r="AM5" s="7">
        <v>80</v>
      </c>
      <c r="AN5" s="7"/>
      <c r="AO5" s="63">
        <v>5.8</v>
      </c>
      <c r="AP5" s="58">
        <v>1600</v>
      </c>
      <c r="AQ5" s="58">
        <v>310</v>
      </c>
      <c r="AR5" s="58">
        <v>310</v>
      </c>
      <c r="AS5" s="30">
        <v>0</v>
      </c>
      <c r="AT5" s="30">
        <v>0</v>
      </c>
      <c r="AU5" s="30">
        <v>0</v>
      </c>
      <c r="AV5" s="197">
        <v>0</v>
      </c>
      <c r="AW5" s="197">
        <v>0</v>
      </c>
      <c r="AX5" s="197">
        <v>0</v>
      </c>
      <c r="AY5" s="202"/>
      <c r="AZ5" s="202"/>
      <c r="BA5" s="202">
        <v>0</v>
      </c>
      <c r="BB5" s="189" t="s">
        <v>134</v>
      </c>
      <c r="BC5" s="189"/>
      <c r="BD5" s="189">
        <v>3</v>
      </c>
      <c r="BE5" s="49"/>
      <c r="BF5" s="185"/>
      <c r="BG5" s="183"/>
      <c r="BH5" s="183"/>
    </row>
    <row r="6" spans="1:60" ht="30" hidden="1" customHeight="1">
      <c r="A6" s="115" t="s">
        <v>135</v>
      </c>
      <c r="B6" s="116" t="s">
        <v>136</v>
      </c>
      <c r="C6" s="116" t="s">
        <v>137</v>
      </c>
      <c r="D6" s="118" t="s">
        <v>138</v>
      </c>
      <c r="E6" s="117" t="s">
        <v>107</v>
      </c>
      <c r="F6" s="117" t="s">
        <v>108</v>
      </c>
      <c r="G6" s="116"/>
      <c r="H6" s="119"/>
      <c r="I6" s="117" t="s">
        <v>109</v>
      </c>
      <c r="J6" s="5" t="s">
        <v>110</v>
      </c>
      <c r="K6" s="5">
        <v>1</v>
      </c>
      <c r="L6" s="41" t="s">
        <v>110</v>
      </c>
      <c r="M6" s="41">
        <v>1</v>
      </c>
      <c r="N6" s="39"/>
      <c r="O6" s="39"/>
      <c r="P6" s="5" t="s">
        <v>111</v>
      </c>
      <c r="Q6" s="41">
        <v>1</v>
      </c>
      <c r="R6" s="5" t="s">
        <v>112</v>
      </c>
      <c r="S6" s="5">
        <v>5</v>
      </c>
      <c r="T6" s="5" t="s">
        <v>139</v>
      </c>
      <c r="U6" s="41" t="s">
        <v>140</v>
      </c>
      <c r="V6" s="5"/>
      <c r="W6" s="174">
        <v>45668</v>
      </c>
      <c r="X6" s="174">
        <v>45674</v>
      </c>
      <c r="Y6" s="41" t="s">
        <v>115</v>
      </c>
      <c r="Z6" s="3" t="s">
        <v>141</v>
      </c>
      <c r="AA6" s="2" t="s">
        <v>142</v>
      </c>
      <c r="AB6" s="3" t="s">
        <v>118</v>
      </c>
      <c r="AC6" s="3" t="s">
        <v>143</v>
      </c>
      <c r="AD6" s="50"/>
      <c r="AE6" s="50"/>
      <c r="AF6" s="12">
        <f t="shared" si="0"/>
        <v>74</v>
      </c>
      <c r="AG6" s="7">
        <v>80</v>
      </c>
      <c r="AH6" s="7"/>
      <c r="AI6" s="7">
        <v>60</v>
      </c>
      <c r="AJ6" s="7" t="s">
        <v>144</v>
      </c>
      <c r="AK6" s="7">
        <v>80</v>
      </c>
      <c r="AL6" s="7" t="s">
        <v>145</v>
      </c>
      <c r="AM6" s="7">
        <v>80</v>
      </c>
      <c r="AN6" s="7" t="s">
        <v>146</v>
      </c>
      <c r="AO6" s="63">
        <v>5.8</v>
      </c>
      <c r="AP6" s="58">
        <v>1600</v>
      </c>
      <c r="AQ6" s="58">
        <v>390</v>
      </c>
      <c r="AR6" s="58">
        <v>390</v>
      </c>
      <c r="AS6" s="30">
        <v>18096</v>
      </c>
      <c r="AT6" s="30"/>
      <c r="AU6" s="30">
        <v>18096</v>
      </c>
      <c r="AV6" s="197">
        <v>18096</v>
      </c>
      <c r="AW6" s="197"/>
      <c r="AX6" s="197">
        <v>18096</v>
      </c>
      <c r="AY6" s="202">
        <f>13888.24+88.15</f>
        <v>13976.39</v>
      </c>
      <c r="AZ6" s="202">
        <v>12185.11</v>
      </c>
      <c r="BA6" s="202">
        <f>13888.24+88.15</f>
        <v>13976.39</v>
      </c>
      <c r="BB6" s="189" t="s">
        <v>147</v>
      </c>
      <c r="BC6" s="189" t="s">
        <v>148</v>
      </c>
      <c r="BD6" s="190">
        <v>3</v>
      </c>
      <c r="BE6" s="30"/>
      <c r="BF6" s="186"/>
      <c r="BG6" s="183"/>
      <c r="BH6" s="183"/>
    </row>
    <row r="7" spans="1:60" ht="30" hidden="1" customHeight="1">
      <c r="A7" s="115" t="s">
        <v>122</v>
      </c>
      <c r="B7" s="116" t="s">
        <v>149</v>
      </c>
      <c r="C7" s="116" t="s">
        <v>150</v>
      </c>
      <c r="D7" s="118" t="s">
        <v>151</v>
      </c>
      <c r="E7" s="117" t="s">
        <v>126</v>
      </c>
      <c r="F7" s="117" t="s">
        <v>152</v>
      </c>
      <c r="G7" s="116" t="s">
        <v>153</v>
      </c>
      <c r="H7" s="119" t="s">
        <v>154</v>
      </c>
      <c r="I7" s="117" t="s">
        <v>109</v>
      </c>
      <c r="J7" s="5" t="s">
        <v>110</v>
      </c>
      <c r="K7" s="5">
        <v>1</v>
      </c>
      <c r="L7" s="41" t="s">
        <v>110</v>
      </c>
      <c r="M7" s="41">
        <v>1</v>
      </c>
      <c r="N7" s="39" t="s">
        <v>115</v>
      </c>
      <c r="O7" s="39">
        <v>1</v>
      </c>
      <c r="P7" s="5" t="s">
        <v>111</v>
      </c>
      <c r="Q7" s="41">
        <v>1</v>
      </c>
      <c r="R7" s="5" t="s">
        <v>112</v>
      </c>
      <c r="S7" s="5">
        <v>3</v>
      </c>
      <c r="T7" s="5" t="s">
        <v>155</v>
      </c>
      <c r="U7" s="41" t="s">
        <v>156</v>
      </c>
      <c r="V7" s="5"/>
      <c r="W7" s="174">
        <v>45671</v>
      </c>
      <c r="X7" s="174">
        <v>45673</v>
      </c>
      <c r="Y7" s="41" t="s">
        <v>115</v>
      </c>
      <c r="Z7" s="3" t="s">
        <v>116</v>
      </c>
      <c r="AA7" s="3" t="s">
        <v>157</v>
      </c>
      <c r="AB7" s="3" t="s">
        <v>158</v>
      </c>
      <c r="AC7" s="3"/>
      <c r="AD7" s="3"/>
      <c r="AE7" s="3"/>
      <c r="AF7" s="12">
        <f t="shared" si="0"/>
        <v>84</v>
      </c>
      <c r="AG7" s="7">
        <v>80</v>
      </c>
      <c r="AH7" s="7"/>
      <c r="AI7" s="7">
        <v>80</v>
      </c>
      <c r="AJ7" s="7"/>
      <c r="AK7" s="7">
        <v>100</v>
      </c>
      <c r="AL7" s="7" t="s">
        <v>159</v>
      </c>
      <c r="AM7" s="7">
        <v>80</v>
      </c>
      <c r="AN7" s="7"/>
      <c r="AO7" s="63">
        <v>5.8</v>
      </c>
      <c r="AP7" s="58">
        <v>1600</v>
      </c>
      <c r="AQ7" s="58">
        <v>280</v>
      </c>
      <c r="AR7" s="58">
        <v>280</v>
      </c>
      <c r="AS7" s="30">
        <v>9744</v>
      </c>
      <c r="AT7" s="30"/>
      <c r="AU7" s="30">
        <v>9744</v>
      </c>
      <c r="AV7" s="197">
        <v>9744</v>
      </c>
      <c r="AW7" s="197"/>
      <c r="AX7" s="197">
        <v>9744</v>
      </c>
      <c r="AY7" s="202">
        <v>11596</v>
      </c>
      <c r="AZ7" s="202">
        <v>17886.810000000001</v>
      </c>
      <c r="BA7" s="202">
        <v>11596</v>
      </c>
      <c r="BB7" s="189" t="s">
        <v>160</v>
      </c>
      <c r="BC7" s="189" t="s">
        <v>161</v>
      </c>
      <c r="BD7" s="189">
        <v>3</v>
      </c>
      <c r="BE7" s="30"/>
      <c r="BF7" s="186"/>
      <c r="BG7" s="183"/>
      <c r="BH7" s="183"/>
    </row>
    <row r="8" spans="1:60" ht="30" hidden="1" customHeight="1">
      <c r="A8" s="115" t="s">
        <v>122</v>
      </c>
      <c r="B8" s="116" t="s">
        <v>162</v>
      </c>
      <c r="C8" s="116" t="s">
        <v>163</v>
      </c>
      <c r="D8" s="117" t="s">
        <v>164</v>
      </c>
      <c r="E8" s="117" t="s">
        <v>165</v>
      </c>
      <c r="F8" s="117" t="s">
        <v>166</v>
      </c>
      <c r="G8" s="116" t="s">
        <v>167</v>
      </c>
      <c r="H8" s="116"/>
      <c r="I8" s="117" t="s">
        <v>109</v>
      </c>
      <c r="J8" s="5" t="s">
        <v>110</v>
      </c>
      <c r="K8" s="5">
        <v>1</v>
      </c>
      <c r="L8" s="5" t="s">
        <v>110</v>
      </c>
      <c r="M8" s="5">
        <v>1</v>
      </c>
      <c r="N8" s="7" t="s">
        <v>115</v>
      </c>
      <c r="O8" s="7">
        <v>1</v>
      </c>
      <c r="P8" s="5" t="s">
        <v>111</v>
      </c>
      <c r="Q8" s="5">
        <v>1</v>
      </c>
      <c r="R8" s="5" t="s">
        <v>112</v>
      </c>
      <c r="S8" s="5">
        <v>5</v>
      </c>
      <c r="T8" s="5" t="s">
        <v>168</v>
      </c>
      <c r="U8" s="5" t="s">
        <v>169</v>
      </c>
      <c r="V8" s="5"/>
      <c r="W8" s="175">
        <v>45669</v>
      </c>
      <c r="X8" s="175">
        <v>45673</v>
      </c>
      <c r="Y8" s="5" t="s">
        <v>115</v>
      </c>
      <c r="Z8" s="3" t="s">
        <v>116</v>
      </c>
      <c r="AA8" s="3" t="s">
        <v>170</v>
      </c>
      <c r="AB8" s="3" t="s">
        <v>118</v>
      </c>
      <c r="AC8" s="3" t="s">
        <v>171</v>
      </c>
      <c r="AD8" s="3"/>
      <c r="AE8" s="3"/>
      <c r="AF8" s="12">
        <f t="shared" si="0"/>
        <v>84</v>
      </c>
      <c r="AG8" s="7">
        <v>80</v>
      </c>
      <c r="AH8" s="7"/>
      <c r="AI8" s="7">
        <v>80</v>
      </c>
      <c r="AJ8" s="7" t="s">
        <v>172</v>
      </c>
      <c r="AK8" s="7">
        <v>100</v>
      </c>
      <c r="AL8" s="7" t="s">
        <v>158</v>
      </c>
      <c r="AM8" s="7">
        <v>80</v>
      </c>
      <c r="AN8" s="7"/>
      <c r="AO8" s="63">
        <v>5.8</v>
      </c>
      <c r="AP8" s="58">
        <v>1600</v>
      </c>
      <c r="AQ8" s="58">
        <v>420</v>
      </c>
      <c r="AR8" s="58">
        <v>330</v>
      </c>
      <c r="AS8" s="30">
        <v>19488</v>
      </c>
      <c r="AT8" s="30"/>
      <c r="AU8" s="30">
        <v>19488</v>
      </c>
      <c r="AV8" s="197">
        <v>15312</v>
      </c>
      <c r="AW8" s="197"/>
      <c r="AX8" s="197">
        <v>15312</v>
      </c>
      <c r="AY8" s="202">
        <v>6333.09</v>
      </c>
      <c r="AZ8" s="202">
        <v>18491.939999999999</v>
      </c>
      <c r="BA8" s="202">
        <v>6333.09</v>
      </c>
      <c r="BB8" s="189" t="s">
        <v>173</v>
      </c>
      <c r="BC8" s="189" t="s">
        <v>174</v>
      </c>
      <c r="BD8" s="189">
        <v>3</v>
      </c>
      <c r="BE8" s="30"/>
      <c r="BF8" s="186"/>
      <c r="BG8" s="183"/>
      <c r="BH8" s="183"/>
    </row>
    <row r="9" spans="1:60" ht="30" hidden="1" customHeight="1">
      <c r="A9" s="115" t="s">
        <v>122</v>
      </c>
      <c r="B9" s="116" t="s">
        <v>149</v>
      </c>
      <c r="C9" s="116" t="s">
        <v>175</v>
      </c>
      <c r="D9" s="117" t="s">
        <v>151</v>
      </c>
      <c r="E9" s="117" t="s">
        <v>176</v>
      </c>
      <c r="F9" s="117" t="s">
        <v>152</v>
      </c>
      <c r="G9" s="116" t="s">
        <v>177</v>
      </c>
      <c r="H9" s="116"/>
      <c r="I9" s="117"/>
      <c r="J9" s="5" t="s">
        <v>110</v>
      </c>
      <c r="K9" s="5">
        <v>1</v>
      </c>
      <c r="L9" s="5" t="s">
        <v>178</v>
      </c>
      <c r="M9" s="5">
        <v>1</v>
      </c>
      <c r="N9" s="7"/>
      <c r="O9" s="7"/>
      <c r="P9" s="5" t="s">
        <v>179</v>
      </c>
      <c r="Q9" s="5"/>
      <c r="R9" s="5" t="s">
        <v>112</v>
      </c>
      <c r="S9" s="5">
        <v>3</v>
      </c>
      <c r="T9" s="5" t="s">
        <v>155</v>
      </c>
      <c r="U9" s="5" t="s">
        <v>156</v>
      </c>
      <c r="V9" s="5"/>
      <c r="W9" s="175">
        <v>45671</v>
      </c>
      <c r="X9" s="175">
        <v>45673</v>
      </c>
      <c r="Y9" s="5" t="s">
        <v>115</v>
      </c>
      <c r="Z9" s="3" t="s">
        <v>116</v>
      </c>
      <c r="AA9" s="3" t="s">
        <v>180</v>
      </c>
      <c r="AB9" s="3" t="s">
        <v>118</v>
      </c>
      <c r="AC9" s="3"/>
      <c r="AD9" s="3"/>
      <c r="AE9" s="3"/>
      <c r="AF9" s="12">
        <f t="shared" si="0"/>
        <v>72</v>
      </c>
      <c r="AG9" s="7">
        <v>80</v>
      </c>
      <c r="AH9" s="7"/>
      <c r="AI9" s="7">
        <v>80</v>
      </c>
      <c r="AJ9" s="7"/>
      <c r="AK9" s="7">
        <v>40</v>
      </c>
      <c r="AL9" s="7"/>
      <c r="AM9" s="7">
        <v>80</v>
      </c>
      <c r="AN9" s="7"/>
      <c r="AO9" s="63">
        <v>5.8</v>
      </c>
      <c r="AP9" s="58">
        <v>1600</v>
      </c>
      <c r="AQ9" s="58">
        <v>260</v>
      </c>
      <c r="AR9" s="58">
        <v>260</v>
      </c>
      <c r="AS9" s="30">
        <v>9048</v>
      </c>
      <c r="AT9" s="30">
        <v>9280</v>
      </c>
      <c r="AU9" s="30">
        <v>18328</v>
      </c>
      <c r="AV9" s="197">
        <v>9048</v>
      </c>
      <c r="AW9" s="197">
        <v>9280</v>
      </c>
      <c r="AX9" s="197">
        <v>18328</v>
      </c>
      <c r="AY9" s="202"/>
      <c r="AZ9" s="202"/>
      <c r="BA9" s="202">
        <v>0</v>
      </c>
      <c r="BB9" s="189" t="s">
        <v>181</v>
      </c>
      <c r="BC9" s="189"/>
      <c r="BD9" s="189">
        <v>3</v>
      </c>
      <c r="BE9" s="30" t="s">
        <v>182</v>
      </c>
      <c r="BF9" s="186"/>
      <c r="BG9" s="183"/>
      <c r="BH9" s="183"/>
    </row>
    <row r="10" spans="1:60" ht="30" hidden="1" customHeight="1">
      <c r="A10" s="115" t="s">
        <v>183</v>
      </c>
      <c r="B10" s="116" t="s">
        <v>184</v>
      </c>
      <c r="C10" s="116" t="s">
        <v>105</v>
      </c>
      <c r="D10" s="117" t="s">
        <v>185</v>
      </c>
      <c r="E10" s="117" t="s">
        <v>107</v>
      </c>
      <c r="F10" s="117" t="s">
        <v>108</v>
      </c>
      <c r="G10" s="116" t="s">
        <v>186</v>
      </c>
      <c r="H10" s="116"/>
      <c r="I10" s="117" t="s">
        <v>109</v>
      </c>
      <c r="J10" s="5" t="s">
        <v>110</v>
      </c>
      <c r="K10" s="5">
        <v>1</v>
      </c>
      <c r="L10" s="5" t="s">
        <v>110</v>
      </c>
      <c r="M10" s="5">
        <v>1</v>
      </c>
      <c r="N10" s="7"/>
      <c r="O10" s="7"/>
      <c r="P10" s="5" t="s">
        <v>111</v>
      </c>
      <c r="Q10" s="5">
        <v>1</v>
      </c>
      <c r="R10" s="5" t="s">
        <v>112</v>
      </c>
      <c r="S10" s="5">
        <v>3</v>
      </c>
      <c r="T10" s="5" t="s">
        <v>139</v>
      </c>
      <c r="U10" s="5" t="s">
        <v>187</v>
      </c>
      <c r="V10" s="5"/>
      <c r="W10" s="175">
        <v>45671</v>
      </c>
      <c r="X10" s="175">
        <v>45673</v>
      </c>
      <c r="Y10" s="5" t="s">
        <v>115</v>
      </c>
      <c r="Z10" s="3" t="s">
        <v>141</v>
      </c>
      <c r="AA10" s="2" t="s">
        <v>188</v>
      </c>
      <c r="AB10" s="3" t="s">
        <v>118</v>
      </c>
      <c r="AC10" s="3" t="s">
        <v>119</v>
      </c>
      <c r="AD10" s="50"/>
      <c r="AE10" s="50"/>
      <c r="AF10" s="12">
        <f t="shared" si="0"/>
        <v>72</v>
      </c>
      <c r="AG10" s="7">
        <v>80</v>
      </c>
      <c r="AH10" s="7"/>
      <c r="AI10" s="7">
        <v>80</v>
      </c>
      <c r="AJ10" s="7" t="s">
        <v>189</v>
      </c>
      <c r="AK10" s="7">
        <v>40</v>
      </c>
      <c r="AL10" s="7"/>
      <c r="AM10" s="7">
        <v>80</v>
      </c>
      <c r="AN10" s="7"/>
      <c r="AO10" s="63">
        <v>5.8</v>
      </c>
      <c r="AP10" s="58">
        <v>1600</v>
      </c>
      <c r="AQ10" s="58">
        <v>370</v>
      </c>
      <c r="AR10" s="58">
        <v>370</v>
      </c>
      <c r="AS10" s="30">
        <v>12876</v>
      </c>
      <c r="AT10" s="30"/>
      <c r="AU10" s="30">
        <v>12876</v>
      </c>
      <c r="AV10" s="197">
        <v>12876</v>
      </c>
      <c r="AW10" s="197"/>
      <c r="AX10" s="197">
        <v>12876</v>
      </c>
      <c r="AY10" s="202">
        <f>13164.37+70.1</f>
        <v>13234.470000000001</v>
      </c>
      <c r="AZ10" s="202">
        <v>10075.82</v>
      </c>
      <c r="BA10" s="202">
        <f>13164.37+70.1</f>
        <v>13234.470000000001</v>
      </c>
      <c r="BB10" s="189" t="s">
        <v>190</v>
      </c>
      <c r="BC10" s="189" t="s">
        <v>191</v>
      </c>
      <c r="BD10" s="190">
        <v>3</v>
      </c>
      <c r="BE10" s="30"/>
      <c r="BF10" s="186"/>
      <c r="BG10" s="183"/>
      <c r="BH10" s="183"/>
    </row>
    <row r="11" spans="1:60" ht="30" customHeight="1">
      <c r="A11" s="115" t="s">
        <v>192</v>
      </c>
      <c r="B11" s="116" t="s">
        <v>193</v>
      </c>
      <c r="C11" s="116"/>
      <c r="D11" s="117" t="s">
        <v>194</v>
      </c>
      <c r="E11" s="117" t="s">
        <v>195</v>
      </c>
      <c r="F11" s="117" t="s">
        <v>166</v>
      </c>
      <c r="G11" s="116"/>
      <c r="H11" s="116"/>
      <c r="I11" s="117" t="s">
        <v>109</v>
      </c>
      <c r="J11" s="5" t="s">
        <v>110</v>
      </c>
      <c r="K11" s="5">
        <v>2</v>
      </c>
      <c r="L11" s="5" t="s">
        <v>110</v>
      </c>
      <c r="M11" s="5">
        <v>1</v>
      </c>
      <c r="N11" s="7" t="s">
        <v>115</v>
      </c>
      <c r="O11" s="7">
        <v>1</v>
      </c>
      <c r="P11" s="5" t="s">
        <v>111</v>
      </c>
      <c r="Q11" s="5">
        <v>1</v>
      </c>
      <c r="R11" s="5" t="s">
        <v>112</v>
      </c>
      <c r="S11" s="5">
        <v>1</v>
      </c>
      <c r="T11" s="5" t="s">
        <v>196</v>
      </c>
      <c r="U11" s="5" t="s">
        <v>197</v>
      </c>
      <c r="V11" s="5" t="s">
        <v>115</v>
      </c>
      <c r="W11" s="175">
        <v>45674</v>
      </c>
      <c r="X11" s="175">
        <v>45674</v>
      </c>
      <c r="Y11" s="5" t="s">
        <v>115</v>
      </c>
      <c r="Z11" s="3" t="s">
        <v>198</v>
      </c>
      <c r="AA11" s="2"/>
      <c r="AB11" s="3" t="s">
        <v>118</v>
      </c>
      <c r="AC11" s="3"/>
      <c r="AD11" s="50"/>
      <c r="AE11" s="50"/>
      <c r="AF11" s="12">
        <f t="shared" si="0"/>
        <v>86</v>
      </c>
      <c r="AG11" s="7">
        <v>100</v>
      </c>
      <c r="AH11" s="7"/>
      <c r="AI11" s="7">
        <v>80</v>
      </c>
      <c r="AJ11" s="7"/>
      <c r="AK11" s="7">
        <v>60</v>
      </c>
      <c r="AL11" s="7"/>
      <c r="AM11" s="7">
        <v>100</v>
      </c>
      <c r="AN11" s="7"/>
      <c r="AO11" s="63">
        <v>5.8</v>
      </c>
      <c r="AP11" s="58">
        <v>800</v>
      </c>
      <c r="AQ11" s="58">
        <f>AVERAGE(200,180)</f>
        <v>190</v>
      </c>
      <c r="AR11" s="58">
        <f>AVERAGE(200,180)</f>
        <v>190</v>
      </c>
      <c r="AS11" s="30">
        <v>6612</v>
      </c>
      <c r="AT11" s="30"/>
      <c r="AU11" s="30">
        <v>6612</v>
      </c>
      <c r="AV11" s="197">
        <v>3306</v>
      </c>
      <c r="AW11" s="197"/>
      <c r="AX11" s="197">
        <v>3306</v>
      </c>
      <c r="AY11" s="202">
        <v>2322.04</v>
      </c>
      <c r="AZ11" s="202">
        <v>5405.74</v>
      </c>
      <c r="BA11" s="202">
        <v>2322.04</v>
      </c>
      <c r="BB11" s="189" t="s">
        <v>199</v>
      </c>
      <c r="BC11" s="189" t="s">
        <v>200</v>
      </c>
      <c r="BD11" s="189">
        <v>2</v>
      </c>
      <c r="BE11" s="30"/>
      <c r="BF11" s="186"/>
      <c r="BG11" s="183"/>
      <c r="BH11" s="183"/>
    </row>
    <row r="12" spans="1:60" ht="30" hidden="1" customHeight="1">
      <c r="A12" s="115" t="s">
        <v>192</v>
      </c>
      <c r="B12" s="116" t="s">
        <v>193</v>
      </c>
      <c r="C12" s="116"/>
      <c r="D12" s="117" t="s">
        <v>194</v>
      </c>
      <c r="E12" s="117" t="s">
        <v>201</v>
      </c>
      <c r="F12" s="117" t="s">
        <v>166</v>
      </c>
      <c r="G12" s="116"/>
      <c r="H12" s="116"/>
      <c r="I12" s="117" t="s">
        <v>109</v>
      </c>
      <c r="J12" s="5" t="s">
        <v>110</v>
      </c>
      <c r="K12" s="5">
        <v>1</v>
      </c>
      <c r="L12" s="5" t="s">
        <v>110</v>
      </c>
      <c r="M12" s="5">
        <v>1</v>
      </c>
      <c r="N12" s="7"/>
      <c r="O12" s="7"/>
      <c r="P12" s="5" t="s">
        <v>111</v>
      </c>
      <c r="Q12" s="5">
        <v>1</v>
      </c>
      <c r="R12" s="5" t="s">
        <v>112</v>
      </c>
      <c r="S12" s="5">
        <v>1</v>
      </c>
      <c r="T12" s="5" t="s">
        <v>196</v>
      </c>
      <c r="U12" s="41" t="s">
        <v>197</v>
      </c>
      <c r="V12" s="5" t="s">
        <v>115</v>
      </c>
      <c r="W12" s="175">
        <v>45674</v>
      </c>
      <c r="X12" s="175">
        <v>45674</v>
      </c>
      <c r="Y12" s="5" t="s">
        <v>115</v>
      </c>
      <c r="Z12" s="3" t="s">
        <v>198</v>
      </c>
      <c r="AA12" s="2"/>
      <c r="AB12" s="3" t="s">
        <v>118</v>
      </c>
      <c r="AC12" s="3"/>
      <c r="AD12" s="50"/>
      <c r="AE12" s="50"/>
      <c r="AF12" s="12">
        <f t="shared" si="0"/>
        <v>70</v>
      </c>
      <c r="AG12" s="7">
        <v>60</v>
      </c>
      <c r="AH12" s="7"/>
      <c r="AI12" s="7">
        <v>80</v>
      </c>
      <c r="AJ12" s="7"/>
      <c r="AK12" s="7">
        <v>60</v>
      </c>
      <c r="AL12" s="7"/>
      <c r="AM12" s="7">
        <v>100</v>
      </c>
      <c r="AN12" s="7"/>
      <c r="AO12" s="63">
        <v>5.8</v>
      </c>
      <c r="AP12" s="58">
        <v>800</v>
      </c>
      <c r="AQ12" s="58">
        <f>AVERAGE(200,180)</f>
        <v>190</v>
      </c>
      <c r="AR12" s="58">
        <f>AVERAGE(200,180)</f>
        <v>190</v>
      </c>
      <c r="AS12" s="30">
        <v>3306</v>
      </c>
      <c r="AT12" s="30"/>
      <c r="AU12" s="30">
        <v>3306</v>
      </c>
      <c r="AV12" s="197">
        <v>3306</v>
      </c>
      <c r="AW12" s="197"/>
      <c r="AX12" s="197">
        <v>3306</v>
      </c>
      <c r="AY12" s="202">
        <v>2563.3200000000002</v>
      </c>
      <c r="AZ12" s="202">
        <v>514.45000000000005</v>
      </c>
      <c r="BA12" s="202">
        <v>2563.3200000000002</v>
      </c>
      <c r="BB12" s="189" t="s">
        <v>202</v>
      </c>
      <c r="BC12" s="189" t="s">
        <v>200</v>
      </c>
      <c r="BD12" s="189">
        <v>2</v>
      </c>
      <c r="BE12" s="30"/>
      <c r="BF12" s="186"/>
      <c r="BG12" s="183"/>
      <c r="BH12" s="183"/>
    </row>
    <row r="13" spans="1:60" ht="30" hidden="1" customHeight="1">
      <c r="A13" s="115" t="s">
        <v>122</v>
      </c>
      <c r="B13" s="116" t="s">
        <v>203</v>
      </c>
      <c r="C13" s="116">
        <v>2025</v>
      </c>
      <c r="D13" s="117" t="s">
        <v>204</v>
      </c>
      <c r="E13" s="117" t="s">
        <v>126</v>
      </c>
      <c r="F13" s="117" t="s">
        <v>152</v>
      </c>
      <c r="G13" s="116" t="s">
        <v>205</v>
      </c>
      <c r="H13" s="116" t="s">
        <v>206</v>
      </c>
      <c r="I13" s="117" t="s">
        <v>109</v>
      </c>
      <c r="J13" s="5" t="s">
        <v>110</v>
      </c>
      <c r="K13" s="5">
        <v>1</v>
      </c>
      <c r="L13" s="5" t="s">
        <v>110</v>
      </c>
      <c r="M13" s="5">
        <v>1</v>
      </c>
      <c r="N13" s="7" t="s">
        <v>115</v>
      </c>
      <c r="O13" s="7">
        <v>1</v>
      </c>
      <c r="P13" s="5" t="s">
        <v>111</v>
      </c>
      <c r="Q13" s="5">
        <v>1</v>
      </c>
      <c r="R13" s="5" t="s">
        <v>112</v>
      </c>
      <c r="S13" s="5">
        <v>5</v>
      </c>
      <c r="T13" s="5" t="s">
        <v>207</v>
      </c>
      <c r="U13" s="41" t="s">
        <v>208</v>
      </c>
      <c r="V13" s="5"/>
      <c r="W13" s="175">
        <v>45677</v>
      </c>
      <c r="X13" s="175">
        <v>45681</v>
      </c>
      <c r="Y13" s="5" t="s">
        <v>115</v>
      </c>
      <c r="Z13" s="3" t="s">
        <v>116</v>
      </c>
      <c r="AA13" s="3" t="s">
        <v>209</v>
      </c>
      <c r="AB13" s="3" t="s">
        <v>118</v>
      </c>
      <c r="AC13" s="3"/>
      <c r="AD13" s="3"/>
      <c r="AE13" s="3"/>
      <c r="AF13" s="12">
        <f t="shared" si="0"/>
        <v>72</v>
      </c>
      <c r="AG13" s="7">
        <v>80</v>
      </c>
      <c r="AH13" s="7"/>
      <c r="AI13" s="7">
        <v>80</v>
      </c>
      <c r="AJ13" s="7" t="s">
        <v>210</v>
      </c>
      <c r="AK13" s="7">
        <v>40</v>
      </c>
      <c r="AL13" s="7"/>
      <c r="AM13" s="7">
        <v>80</v>
      </c>
      <c r="AN13" s="7"/>
      <c r="AO13" s="63">
        <v>5.8</v>
      </c>
      <c r="AP13" s="58">
        <v>1600</v>
      </c>
      <c r="AQ13" s="58">
        <v>390</v>
      </c>
      <c r="AR13" s="58">
        <v>390</v>
      </c>
      <c r="AS13" s="30">
        <v>18096</v>
      </c>
      <c r="AT13" s="30"/>
      <c r="AU13" s="30">
        <v>18096</v>
      </c>
      <c r="AV13" s="197">
        <v>18096</v>
      </c>
      <c r="AW13" s="197"/>
      <c r="AX13" s="197">
        <v>18096</v>
      </c>
      <c r="AY13" s="202">
        <v>16724.669999999998</v>
      </c>
      <c r="AZ13" s="202">
        <v>1634.38</v>
      </c>
      <c r="BA13" s="202">
        <f>1634.38+16724.67</f>
        <v>18359.05</v>
      </c>
      <c r="BB13" s="189" t="s">
        <v>211</v>
      </c>
      <c r="BC13" s="189" t="s">
        <v>212</v>
      </c>
      <c r="BD13" s="189">
        <v>3</v>
      </c>
      <c r="BE13" s="30"/>
      <c r="BF13" s="186"/>
      <c r="BG13" s="183"/>
      <c r="BH13" s="183"/>
    </row>
    <row r="14" spans="1:60" ht="30" hidden="1" customHeight="1">
      <c r="A14" s="115" t="s">
        <v>122</v>
      </c>
      <c r="B14" s="116" t="s">
        <v>213</v>
      </c>
      <c r="C14" s="116" t="s">
        <v>214</v>
      </c>
      <c r="D14" s="117" t="s">
        <v>215</v>
      </c>
      <c r="E14" s="117" t="s">
        <v>216</v>
      </c>
      <c r="F14" s="117" t="s">
        <v>217</v>
      </c>
      <c r="G14" s="116"/>
      <c r="H14" s="116"/>
      <c r="I14" s="117" t="s">
        <v>109</v>
      </c>
      <c r="J14" s="5" t="s">
        <v>110</v>
      </c>
      <c r="K14" s="5">
        <v>1</v>
      </c>
      <c r="L14" s="5" t="s">
        <v>110</v>
      </c>
      <c r="M14" s="5">
        <v>1</v>
      </c>
      <c r="N14" s="7" t="s">
        <v>115</v>
      </c>
      <c r="O14" s="7">
        <v>1</v>
      </c>
      <c r="P14" s="5" t="s">
        <v>111</v>
      </c>
      <c r="Q14" s="5">
        <v>1</v>
      </c>
      <c r="R14" s="5" t="s">
        <v>112</v>
      </c>
      <c r="S14" s="5">
        <v>5</v>
      </c>
      <c r="T14" s="5" t="s">
        <v>218</v>
      </c>
      <c r="U14" s="41" t="s">
        <v>219</v>
      </c>
      <c r="V14" s="5"/>
      <c r="W14" s="175">
        <v>45677</v>
      </c>
      <c r="X14" s="175">
        <v>45681</v>
      </c>
      <c r="Y14" s="5" t="s">
        <v>115</v>
      </c>
      <c r="Z14" s="3" t="s">
        <v>220</v>
      </c>
      <c r="AA14" s="3" t="s">
        <v>221</v>
      </c>
      <c r="AB14" s="3" t="s">
        <v>118</v>
      </c>
      <c r="AC14" s="3" t="s">
        <v>222</v>
      </c>
      <c r="AD14" s="3"/>
      <c r="AE14" s="3"/>
      <c r="AF14" s="12">
        <f t="shared" si="0"/>
        <v>72</v>
      </c>
      <c r="AG14" s="7">
        <v>80</v>
      </c>
      <c r="AH14" s="7"/>
      <c r="AI14" s="7">
        <v>80</v>
      </c>
      <c r="AJ14" s="7" t="s">
        <v>223</v>
      </c>
      <c r="AK14" s="7">
        <v>40</v>
      </c>
      <c r="AL14" s="7"/>
      <c r="AM14" s="7">
        <v>80</v>
      </c>
      <c r="AN14" s="7"/>
      <c r="AO14" s="63">
        <v>5.8</v>
      </c>
      <c r="AP14" s="58">
        <v>1600</v>
      </c>
      <c r="AQ14" s="58">
        <v>320</v>
      </c>
      <c r="AR14" s="58">
        <v>320</v>
      </c>
      <c r="AS14" s="30">
        <v>14848</v>
      </c>
      <c r="AT14" s="30"/>
      <c r="AU14" s="30">
        <v>14848</v>
      </c>
      <c r="AV14" s="197">
        <v>14848</v>
      </c>
      <c r="AW14" s="197"/>
      <c r="AX14" s="197">
        <v>14848</v>
      </c>
      <c r="AY14" s="202">
        <f>13349.13+98.73</f>
        <v>13447.859999999999</v>
      </c>
      <c r="AZ14" s="202">
        <v>12014.34</v>
      </c>
      <c r="BA14" s="202">
        <f>13349.13+98.73</f>
        <v>13447.859999999999</v>
      </c>
      <c r="BB14" s="189" t="s">
        <v>224</v>
      </c>
      <c r="BC14" s="189" t="s">
        <v>225</v>
      </c>
      <c r="BD14" s="189">
        <v>3</v>
      </c>
      <c r="BE14" s="30" t="s">
        <v>226</v>
      </c>
      <c r="BF14" s="186"/>
      <c r="BG14" s="183"/>
      <c r="BH14" s="183"/>
    </row>
    <row r="15" spans="1:60" ht="30" hidden="1" customHeight="1">
      <c r="A15" s="115" t="s">
        <v>122</v>
      </c>
      <c r="B15" s="116" t="s">
        <v>213</v>
      </c>
      <c r="C15" s="116" t="s">
        <v>214</v>
      </c>
      <c r="D15" s="117" t="s">
        <v>215</v>
      </c>
      <c r="E15" s="117" t="s">
        <v>216</v>
      </c>
      <c r="F15" s="117" t="s">
        <v>217</v>
      </c>
      <c r="G15" s="116"/>
      <c r="H15" s="116"/>
      <c r="I15" s="117" t="s">
        <v>109</v>
      </c>
      <c r="J15" s="5" t="s">
        <v>110</v>
      </c>
      <c r="K15" s="5">
        <v>1</v>
      </c>
      <c r="L15" s="5" t="s">
        <v>110</v>
      </c>
      <c r="M15" s="5">
        <v>1</v>
      </c>
      <c r="N15" s="7" t="s">
        <v>115</v>
      </c>
      <c r="O15" s="7">
        <v>1</v>
      </c>
      <c r="P15" s="5" t="s">
        <v>111</v>
      </c>
      <c r="Q15" s="5">
        <v>1</v>
      </c>
      <c r="R15" s="5" t="s">
        <v>112</v>
      </c>
      <c r="S15" s="5">
        <v>5</v>
      </c>
      <c r="T15" s="5" t="s">
        <v>218</v>
      </c>
      <c r="U15" s="41" t="s">
        <v>219</v>
      </c>
      <c r="V15" s="5"/>
      <c r="W15" s="175">
        <v>45677</v>
      </c>
      <c r="X15" s="175">
        <v>45681</v>
      </c>
      <c r="Y15" s="5" t="s">
        <v>115</v>
      </c>
      <c r="Z15" s="3" t="s">
        <v>220</v>
      </c>
      <c r="AA15" s="3" t="s">
        <v>221</v>
      </c>
      <c r="AB15" s="3" t="s">
        <v>118</v>
      </c>
      <c r="AC15" s="3" t="s">
        <v>222</v>
      </c>
      <c r="AD15" s="3"/>
      <c r="AE15" s="3"/>
      <c r="AF15" s="12">
        <f t="shared" si="0"/>
        <v>72</v>
      </c>
      <c r="AG15" s="7">
        <v>80</v>
      </c>
      <c r="AH15" s="7"/>
      <c r="AI15" s="7">
        <v>80</v>
      </c>
      <c r="AJ15" s="7" t="s">
        <v>223</v>
      </c>
      <c r="AK15" s="7">
        <v>40</v>
      </c>
      <c r="AL15" s="7"/>
      <c r="AM15" s="7">
        <v>80</v>
      </c>
      <c r="AN15" s="7"/>
      <c r="AO15" s="63">
        <v>5.8</v>
      </c>
      <c r="AP15" s="58">
        <v>1600</v>
      </c>
      <c r="AQ15" s="58">
        <v>320</v>
      </c>
      <c r="AR15" s="58">
        <v>320</v>
      </c>
      <c r="AS15" s="30">
        <v>14848</v>
      </c>
      <c r="AT15" s="30"/>
      <c r="AU15" s="30">
        <v>14848</v>
      </c>
      <c r="AV15" s="197">
        <v>14848</v>
      </c>
      <c r="AW15" s="197"/>
      <c r="AX15" s="197">
        <v>14848</v>
      </c>
      <c r="AY15" s="202">
        <v>11354.71</v>
      </c>
      <c r="AZ15" s="202">
        <v>8607.8799999999992</v>
      </c>
      <c r="BA15" s="202">
        <v>11354.71</v>
      </c>
      <c r="BB15" s="189" t="s">
        <v>227</v>
      </c>
      <c r="BC15" s="189" t="s">
        <v>225</v>
      </c>
      <c r="BD15" s="189">
        <v>3</v>
      </c>
      <c r="BE15" s="30" t="s">
        <v>226</v>
      </c>
      <c r="BF15" s="186"/>
      <c r="BG15" s="183"/>
      <c r="BH15" s="183"/>
    </row>
    <row r="16" spans="1:60" ht="30" hidden="1" customHeight="1">
      <c r="A16" s="115" t="s">
        <v>228</v>
      </c>
      <c r="B16" s="116" t="s">
        <v>229</v>
      </c>
      <c r="C16" s="116">
        <v>2025</v>
      </c>
      <c r="D16" s="117" t="s">
        <v>230</v>
      </c>
      <c r="E16" s="117" t="s">
        <v>107</v>
      </c>
      <c r="F16" s="117" t="s">
        <v>108</v>
      </c>
      <c r="G16" s="116" t="s">
        <v>231</v>
      </c>
      <c r="H16" s="116"/>
      <c r="I16" s="117" t="s">
        <v>109</v>
      </c>
      <c r="J16" s="5" t="s">
        <v>110</v>
      </c>
      <c r="K16" s="5">
        <v>1</v>
      </c>
      <c r="L16" s="5" t="s">
        <v>110</v>
      </c>
      <c r="M16" s="5">
        <v>1</v>
      </c>
      <c r="N16" s="7"/>
      <c r="O16" s="7"/>
      <c r="P16" s="5" t="s">
        <v>111</v>
      </c>
      <c r="Q16" s="5">
        <v>1</v>
      </c>
      <c r="R16" s="5" t="s">
        <v>112</v>
      </c>
      <c r="S16" s="5">
        <v>2</v>
      </c>
      <c r="T16" s="5" t="s">
        <v>232</v>
      </c>
      <c r="U16" s="41" t="s">
        <v>233</v>
      </c>
      <c r="V16" s="5"/>
      <c r="W16" s="175">
        <v>45678</v>
      </c>
      <c r="X16" s="175">
        <v>45679</v>
      </c>
      <c r="Y16" s="5" t="s">
        <v>115</v>
      </c>
      <c r="Z16" s="3" t="s">
        <v>234</v>
      </c>
      <c r="AA16" s="2" t="s">
        <v>235</v>
      </c>
      <c r="AB16" s="3" t="s">
        <v>118</v>
      </c>
      <c r="AC16" s="3" t="s">
        <v>119</v>
      </c>
      <c r="AD16" s="50"/>
      <c r="AE16" s="50"/>
      <c r="AF16" s="12">
        <f t="shared" si="0"/>
        <v>56</v>
      </c>
      <c r="AG16" s="7">
        <v>60</v>
      </c>
      <c r="AH16" s="7"/>
      <c r="AI16" s="7">
        <v>80</v>
      </c>
      <c r="AJ16" s="7"/>
      <c r="AK16" s="7">
        <v>0</v>
      </c>
      <c r="AL16" s="7"/>
      <c r="AM16" s="7">
        <v>80</v>
      </c>
      <c r="AN16" s="7"/>
      <c r="AO16" s="63">
        <v>5.8</v>
      </c>
      <c r="AP16" s="58">
        <v>1600</v>
      </c>
      <c r="AQ16" s="58">
        <v>420</v>
      </c>
      <c r="AR16" s="58">
        <v>420</v>
      </c>
      <c r="AS16" s="30">
        <v>12180</v>
      </c>
      <c r="AT16" s="30"/>
      <c r="AU16" s="30">
        <v>12180</v>
      </c>
      <c r="AV16" s="198">
        <v>12180</v>
      </c>
      <c r="AW16" s="197"/>
      <c r="AX16" s="197">
        <v>12180</v>
      </c>
      <c r="AY16" s="202">
        <v>12544.06</v>
      </c>
      <c r="AZ16" s="202">
        <v>10315.700000000001</v>
      </c>
      <c r="BA16" s="202">
        <v>12544.06</v>
      </c>
      <c r="BB16" s="189" t="s">
        <v>236</v>
      </c>
      <c r="BC16" s="189" t="s">
        <v>237</v>
      </c>
      <c r="BD16" s="190">
        <v>3</v>
      </c>
      <c r="BE16" s="30"/>
      <c r="BF16" s="186"/>
      <c r="BG16" s="183"/>
      <c r="BH16" s="183"/>
    </row>
    <row r="17" spans="1:60" ht="30" hidden="1" customHeight="1">
      <c r="A17" s="115" t="s">
        <v>228</v>
      </c>
      <c r="B17" s="116" t="s">
        <v>229</v>
      </c>
      <c r="C17" s="116">
        <v>2025</v>
      </c>
      <c r="D17" s="117" t="s">
        <v>230</v>
      </c>
      <c r="E17" s="117" t="s">
        <v>107</v>
      </c>
      <c r="F17" s="117" t="s">
        <v>108</v>
      </c>
      <c r="G17" s="116" t="s">
        <v>231</v>
      </c>
      <c r="H17" s="116"/>
      <c r="I17" s="117" t="s">
        <v>109</v>
      </c>
      <c r="J17" s="5" t="s">
        <v>110</v>
      </c>
      <c r="K17" s="5">
        <v>1</v>
      </c>
      <c r="L17" s="5" t="s">
        <v>110</v>
      </c>
      <c r="M17" s="5">
        <v>1</v>
      </c>
      <c r="N17" s="7"/>
      <c r="O17" s="7"/>
      <c r="P17" s="5" t="s">
        <v>111</v>
      </c>
      <c r="Q17" s="5">
        <v>1</v>
      </c>
      <c r="R17" s="5" t="s">
        <v>112</v>
      </c>
      <c r="S17" s="5">
        <v>2</v>
      </c>
      <c r="T17" s="5" t="s">
        <v>232</v>
      </c>
      <c r="U17" s="41" t="s">
        <v>233</v>
      </c>
      <c r="V17" s="5"/>
      <c r="W17" s="175">
        <v>45678</v>
      </c>
      <c r="X17" s="175">
        <v>45679</v>
      </c>
      <c r="Y17" s="5" t="s">
        <v>115</v>
      </c>
      <c r="Z17" s="3" t="s">
        <v>234</v>
      </c>
      <c r="AA17" s="2" t="s">
        <v>235</v>
      </c>
      <c r="AB17" s="3" t="s">
        <v>118</v>
      </c>
      <c r="AC17" s="3" t="s">
        <v>119</v>
      </c>
      <c r="AD17" s="50"/>
      <c r="AE17" s="50"/>
      <c r="AF17" s="12">
        <f t="shared" si="0"/>
        <v>56</v>
      </c>
      <c r="AG17" s="7">
        <v>60</v>
      </c>
      <c r="AH17" s="7"/>
      <c r="AI17" s="7">
        <v>80</v>
      </c>
      <c r="AJ17" s="7"/>
      <c r="AK17" s="7">
        <v>0</v>
      </c>
      <c r="AL17" s="7"/>
      <c r="AM17" s="7">
        <v>80</v>
      </c>
      <c r="AN17" s="7"/>
      <c r="AO17" s="63">
        <v>5.8</v>
      </c>
      <c r="AP17" s="58">
        <v>1600</v>
      </c>
      <c r="AQ17" s="58">
        <v>420</v>
      </c>
      <c r="AR17" s="58">
        <v>420</v>
      </c>
      <c r="AS17" s="30">
        <v>12180</v>
      </c>
      <c r="AT17" s="30"/>
      <c r="AU17" s="30">
        <v>12180</v>
      </c>
      <c r="AV17" s="198">
        <v>12180</v>
      </c>
      <c r="AW17" s="197"/>
      <c r="AX17" s="197">
        <v>12180</v>
      </c>
      <c r="AY17" s="202">
        <f>11535.68+35.05</f>
        <v>11570.73</v>
      </c>
      <c r="AZ17" s="202">
        <v>10315.700000000001</v>
      </c>
      <c r="BA17" s="202">
        <f>11535.68+35.05</f>
        <v>11570.73</v>
      </c>
      <c r="BB17" s="189" t="s">
        <v>238</v>
      </c>
      <c r="BC17" s="189" t="s">
        <v>237</v>
      </c>
      <c r="BD17" s="190">
        <v>3</v>
      </c>
      <c r="BE17" s="30"/>
      <c r="BF17" s="186"/>
      <c r="BG17" s="183"/>
      <c r="BH17" s="183"/>
    </row>
    <row r="18" spans="1:60" ht="30" hidden="1" customHeight="1">
      <c r="A18" s="115" t="s">
        <v>239</v>
      </c>
      <c r="B18" s="116" t="s">
        <v>240</v>
      </c>
      <c r="C18" s="116" t="s">
        <v>105</v>
      </c>
      <c r="D18" s="117" t="s">
        <v>241</v>
      </c>
      <c r="E18" s="117" t="s">
        <v>107</v>
      </c>
      <c r="F18" s="117" t="s">
        <v>108</v>
      </c>
      <c r="G18" s="116"/>
      <c r="H18" s="116"/>
      <c r="I18" s="117" t="s">
        <v>109</v>
      </c>
      <c r="J18" s="5" t="s">
        <v>110</v>
      </c>
      <c r="K18" s="5">
        <v>1</v>
      </c>
      <c r="L18" s="5" t="s">
        <v>110</v>
      </c>
      <c r="M18" s="5">
        <v>1</v>
      </c>
      <c r="N18" s="7"/>
      <c r="O18" s="7"/>
      <c r="P18" s="5" t="s">
        <v>111</v>
      </c>
      <c r="Q18" s="5">
        <v>1</v>
      </c>
      <c r="R18" s="5" t="s">
        <v>112</v>
      </c>
      <c r="S18" s="5">
        <v>5</v>
      </c>
      <c r="T18" s="5" t="s">
        <v>139</v>
      </c>
      <c r="U18" s="41" t="s">
        <v>242</v>
      </c>
      <c r="V18" s="5"/>
      <c r="W18" s="175">
        <v>45684</v>
      </c>
      <c r="X18" s="175">
        <v>45689</v>
      </c>
      <c r="Y18" s="5" t="s">
        <v>115</v>
      </c>
      <c r="Z18" s="3" t="s">
        <v>116</v>
      </c>
      <c r="AA18" s="2" t="s">
        <v>243</v>
      </c>
      <c r="AB18" s="3" t="s">
        <v>118</v>
      </c>
      <c r="AC18" s="3" t="s">
        <v>119</v>
      </c>
      <c r="AD18" s="50"/>
      <c r="AE18" s="50"/>
      <c r="AF18" s="12">
        <f t="shared" si="0"/>
        <v>64</v>
      </c>
      <c r="AG18" s="7">
        <v>60</v>
      </c>
      <c r="AH18" s="7"/>
      <c r="AI18" s="7">
        <v>80</v>
      </c>
      <c r="AJ18" s="7" t="s">
        <v>244</v>
      </c>
      <c r="AK18" s="7">
        <v>40</v>
      </c>
      <c r="AL18" s="7" t="s">
        <v>245</v>
      </c>
      <c r="AM18" s="7">
        <v>80</v>
      </c>
      <c r="AN18" s="7"/>
      <c r="AO18" s="63">
        <v>5.8</v>
      </c>
      <c r="AP18" s="58">
        <v>1600</v>
      </c>
      <c r="AQ18" s="58">
        <v>370</v>
      </c>
      <c r="AR18" s="58">
        <v>370</v>
      </c>
      <c r="AS18" s="30">
        <v>17168</v>
      </c>
      <c r="AT18" s="30"/>
      <c r="AU18" s="30">
        <v>17168</v>
      </c>
      <c r="AV18" s="197">
        <v>17168</v>
      </c>
      <c r="AW18" s="197"/>
      <c r="AX18" s="197">
        <v>17168</v>
      </c>
      <c r="AY18" s="202">
        <f>15470.45+70.1</f>
        <v>15540.550000000001</v>
      </c>
      <c r="AZ18" s="202">
        <v>8749.7900000000009</v>
      </c>
      <c r="BA18" s="202">
        <f>15470.45+70.1</f>
        <v>15540.550000000001</v>
      </c>
      <c r="BB18" s="189" t="s">
        <v>246</v>
      </c>
      <c r="BC18" s="189" t="s">
        <v>247</v>
      </c>
      <c r="BD18" s="190">
        <v>3</v>
      </c>
      <c r="BE18" s="30"/>
      <c r="BF18" s="186"/>
      <c r="BG18" s="183"/>
      <c r="BH18" s="183"/>
    </row>
    <row r="19" spans="1:60" ht="30" customHeight="1">
      <c r="A19" s="115" t="s">
        <v>248</v>
      </c>
      <c r="B19" s="116" t="s">
        <v>249</v>
      </c>
      <c r="C19" s="116" t="s">
        <v>250</v>
      </c>
      <c r="D19" s="117" t="s">
        <v>251</v>
      </c>
      <c r="E19" s="117" t="s">
        <v>195</v>
      </c>
      <c r="F19" s="117" t="s">
        <v>166</v>
      </c>
      <c r="G19" s="116" t="s">
        <v>252</v>
      </c>
      <c r="H19" s="119"/>
      <c r="I19" s="118"/>
      <c r="J19" s="5" t="s">
        <v>110</v>
      </c>
      <c r="K19" s="5">
        <v>20</v>
      </c>
      <c r="L19" s="5" t="s">
        <v>110</v>
      </c>
      <c r="M19" s="5">
        <v>20</v>
      </c>
      <c r="N19" s="7" t="s">
        <v>115</v>
      </c>
      <c r="O19" s="7">
        <v>10</v>
      </c>
      <c r="P19" s="5" t="s">
        <v>111</v>
      </c>
      <c r="Q19" s="5"/>
      <c r="R19" s="5" t="s">
        <v>112</v>
      </c>
      <c r="S19" s="5">
        <v>3</v>
      </c>
      <c r="T19" s="5" t="s">
        <v>253</v>
      </c>
      <c r="U19" s="41" t="s">
        <v>254</v>
      </c>
      <c r="V19" s="5" t="s">
        <v>253</v>
      </c>
      <c r="W19" s="174">
        <v>45689</v>
      </c>
      <c r="X19" s="174">
        <v>45689</v>
      </c>
      <c r="Y19" s="41" t="s">
        <v>115</v>
      </c>
      <c r="Z19" s="42" t="s">
        <v>141</v>
      </c>
      <c r="AA19" s="37"/>
      <c r="AB19" s="42" t="s">
        <v>118</v>
      </c>
      <c r="AC19" s="42"/>
      <c r="AD19" s="50"/>
      <c r="AE19" s="50"/>
      <c r="AF19" s="12">
        <f t="shared" si="0"/>
        <v>82</v>
      </c>
      <c r="AG19" s="7">
        <v>80</v>
      </c>
      <c r="AH19" s="7"/>
      <c r="AI19" s="7">
        <v>80</v>
      </c>
      <c r="AJ19" s="7"/>
      <c r="AK19" s="7">
        <v>80</v>
      </c>
      <c r="AL19" s="7"/>
      <c r="AM19" s="7">
        <v>100</v>
      </c>
      <c r="AN19" s="7" t="s">
        <v>255</v>
      </c>
      <c r="AO19" s="63">
        <v>5.8</v>
      </c>
      <c r="AP19" s="58">
        <v>1500</v>
      </c>
      <c r="AQ19" s="58">
        <v>425</v>
      </c>
      <c r="AR19" s="58">
        <v>425</v>
      </c>
      <c r="AS19" s="30">
        <v>34000</v>
      </c>
      <c r="AT19" s="30">
        <v>30000</v>
      </c>
      <c r="AU19" s="30">
        <v>64000</v>
      </c>
      <c r="AV19" s="197">
        <v>17000</v>
      </c>
      <c r="AW19" s="197">
        <v>15000</v>
      </c>
      <c r="AX19" s="197">
        <v>32000</v>
      </c>
      <c r="AY19" s="202"/>
      <c r="AZ19" s="202"/>
      <c r="BA19" s="202">
        <v>0</v>
      </c>
      <c r="BB19" s="189"/>
      <c r="BC19" s="189"/>
      <c r="BD19" s="190">
        <v>1</v>
      </c>
      <c r="BE19" s="30"/>
      <c r="BF19" s="186"/>
      <c r="BG19" s="183"/>
      <c r="BH19" s="183"/>
    </row>
    <row r="20" spans="1:60" ht="30" hidden="1" customHeight="1">
      <c r="A20" s="115" t="s">
        <v>122</v>
      </c>
      <c r="B20" s="116" t="s">
        <v>256</v>
      </c>
      <c r="C20" s="116" t="s">
        <v>257</v>
      </c>
      <c r="D20" s="117" t="s">
        <v>258</v>
      </c>
      <c r="E20" s="117" t="s">
        <v>107</v>
      </c>
      <c r="F20" s="117" t="s">
        <v>108</v>
      </c>
      <c r="G20" s="116" t="s">
        <v>259</v>
      </c>
      <c r="H20" s="116"/>
      <c r="I20" s="117"/>
      <c r="J20" s="5" t="s">
        <v>110</v>
      </c>
      <c r="K20" s="5">
        <v>1</v>
      </c>
      <c r="L20" s="5" t="s">
        <v>178</v>
      </c>
      <c r="M20" s="5">
        <v>1</v>
      </c>
      <c r="N20" s="7"/>
      <c r="O20" s="7"/>
      <c r="P20" s="5" t="s">
        <v>179</v>
      </c>
      <c r="Q20" s="5"/>
      <c r="R20" s="5" t="s">
        <v>112</v>
      </c>
      <c r="S20" s="5">
        <v>3</v>
      </c>
      <c r="T20" s="5" t="s">
        <v>260</v>
      </c>
      <c r="U20" s="5" t="s">
        <v>261</v>
      </c>
      <c r="V20" s="5"/>
      <c r="W20" s="175">
        <v>45689</v>
      </c>
      <c r="X20" s="175">
        <v>45689</v>
      </c>
      <c r="Y20" s="5" t="s">
        <v>115</v>
      </c>
      <c r="Z20" s="3"/>
      <c r="AA20" s="2" t="s">
        <v>259</v>
      </c>
      <c r="AB20" s="3"/>
      <c r="AC20" s="3" t="s">
        <v>262</v>
      </c>
      <c r="AD20" s="50"/>
      <c r="AE20" s="50"/>
      <c r="AF20" s="12">
        <f t="shared" si="0"/>
        <v>82</v>
      </c>
      <c r="AG20" s="7">
        <v>100</v>
      </c>
      <c r="AH20" s="7"/>
      <c r="AI20" s="7">
        <v>40</v>
      </c>
      <c r="AJ20" s="7"/>
      <c r="AK20" s="7">
        <v>100</v>
      </c>
      <c r="AL20" s="7"/>
      <c r="AM20" s="7">
        <v>100</v>
      </c>
      <c r="AN20" s="7"/>
      <c r="AO20" s="63">
        <v>5.8</v>
      </c>
      <c r="AP20" s="58">
        <v>1600</v>
      </c>
      <c r="AQ20" s="58">
        <v>420</v>
      </c>
      <c r="AR20" s="58">
        <v>420</v>
      </c>
      <c r="AS20" s="30">
        <v>14616</v>
      </c>
      <c r="AT20" s="30">
        <v>9280</v>
      </c>
      <c r="AU20" s="30">
        <v>23896</v>
      </c>
      <c r="AV20" s="197">
        <v>14616</v>
      </c>
      <c r="AW20" s="197">
        <v>9280</v>
      </c>
      <c r="AX20" s="197">
        <v>23896</v>
      </c>
      <c r="AY20" s="202"/>
      <c r="AZ20" s="202"/>
      <c r="BA20" s="202">
        <v>0</v>
      </c>
      <c r="BB20" s="189" t="s">
        <v>263</v>
      </c>
      <c r="BC20" s="189"/>
      <c r="BD20" s="190">
        <v>3</v>
      </c>
      <c r="BE20" s="30"/>
      <c r="BF20" s="186"/>
      <c r="BG20" s="183"/>
      <c r="BH20" s="183"/>
    </row>
    <row r="21" spans="1:60" ht="30" hidden="1" customHeight="1">
      <c r="A21" s="115" t="s">
        <v>122</v>
      </c>
      <c r="B21" s="116" t="s">
        <v>256</v>
      </c>
      <c r="C21" s="116" t="s">
        <v>257</v>
      </c>
      <c r="D21" s="118" t="s">
        <v>258</v>
      </c>
      <c r="E21" s="117" t="s">
        <v>264</v>
      </c>
      <c r="F21" s="117" t="s">
        <v>265</v>
      </c>
      <c r="G21" s="116"/>
      <c r="H21" s="119"/>
      <c r="I21" s="41" t="s">
        <v>266</v>
      </c>
      <c r="J21" s="5" t="s">
        <v>110</v>
      </c>
      <c r="K21" s="5">
        <v>2</v>
      </c>
      <c r="L21" s="41" t="s">
        <v>110</v>
      </c>
      <c r="M21" s="41">
        <v>1</v>
      </c>
      <c r="N21" s="39"/>
      <c r="O21" s="39"/>
      <c r="P21" s="5" t="s">
        <v>111</v>
      </c>
      <c r="Q21" s="41">
        <v>1</v>
      </c>
      <c r="R21" s="41" t="s">
        <v>112</v>
      </c>
      <c r="S21" s="5">
        <v>4</v>
      </c>
      <c r="T21" s="5" t="s">
        <v>260</v>
      </c>
      <c r="U21" s="41" t="s">
        <v>261</v>
      </c>
      <c r="V21" s="5"/>
      <c r="W21" s="174">
        <v>45696</v>
      </c>
      <c r="X21" s="174">
        <v>45701</v>
      </c>
      <c r="Y21" s="41" t="s">
        <v>115</v>
      </c>
      <c r="Z21" s="3" t="s">
        <v>267</v>
      </c>
      <c r="AA21" s="2" t="s">
        <v>268</v>
      </c>
      <c r="AB21" s="3" t="s">
        <v>118</v>
      </c>
      <c r="AC21" s="3" t="s">
        <v>269</v>
      </c>
      <c r="AD21" s="50"/>
      <c r="AE21" s="50"/>
      <c r="AF21" s="12">
        <f t="shared" si="0"/>
        <v>70</v>
      </c>
      <c r="AG21" s="7">
        <v>60</v>
      </c>
      <c r="AH21" s="7" t="s">
        <v>270</v>
      </c>
      <c r="AI21" s="7">
        <v>60</v>
      </c>
      <c r="AJ21" s="7"/>
      <c r="AK21" s="7">
        <v>100</v>
      </c>
      <c r="AL21" s="7" t="s">
        <v>271</v>
      </c>
      <c r="AM21" s="7">
        <v>80</v>
      </c>
      <c r="AN21" s="7"/>
      <c r="AO21" s="63">
        <v>5.8</v>
      </c>
      <c r="AP21" s="58">
        <v>1600</v>
      </c>
      <c r="AQ21" s="58">
        <f>AVERAGE(350,330)</f>
        <v>340</v>
      </c>
      <c r="AR21" s="58">
        <f>AVERAGE(350,330)</f>
        <v>340</v>
      </c>
      <c r="AS21" s="30">
        <v>27608</v>
      </c>
      <c r="AT21" s="30"/>
      <c r="AU21" s="30">
        <v>27608</v>
      </c>
      <c r="AV21" s="199">
        <v>13804</v>
      </c>
      <c r="AW21" s="199"/>
      <c r="AX21" s="199">
        <v>13804</v>
      </c>
      <c r="AY21" s="203">
        <v>14352.71</v>
      </c>
      <c r="AZ21" s="203">
        <v>7099.88</v>
      </c>
      <c r="BA21" s="203">
        <v>14352.71</v>
      </c>
      <c r="BB21" s="189" t="s">
        <v>272</v>
      </c>
      <c r="BC21" s="191" t="s">
        <v>273</v>
      </c>
      <c r="BD21" s="192">
        <v>3</v>
      </c>
      <c r="BE21" s="30"/>
      <c r="BF21" s="186"/>
      <c r="BG21" s="183"/>
      <c r="BH21" s="183"/>
    </row>
    <row r="22" spans="1:60" ht="30" hidden="1" customHeight="1">
      <c r="A22" s="115" t="s">
        <v>122</v>
      </c>
      <c r="B22" s="116" t="s">
        <v>256</v>
      </c>
      <c r="C22" s="116" t="s">
        <v>257</v>
      </c>
      <c r="D22" s="117" t="s">
        <v>258</v>
      </c>
      <c r="E22" s="117" t="s">
        <v>274</v>
      </c>
      <c r="F22" s="117" t="s">
        <v>275</v>
      </c>
      <c r="G22" s="116" t="s">
        <v>276</v>
      </c>
      <c r="H22" s="116"/>
      <c r="I22" s="5" t="s">
        <v>266</v>
      </c>
      <c r="J22" s="5" t="s">
        <v>110</v>
      </c>
      <c r="K22" s="5">
        <v>1</v>
      </c>
      <c r="L22" s="5" t="s">
        <v>110</v>
      </c>
      <c r="M22" s="5">
        <v>1</v>
      </c>
      <c r="N22" s="7"/>
      <c r="O22" s="7"/>
      <c r="P22" s="5" t="s">
        <v>111</v>
      </c>
      <c r="Q22" s="5">
        <v>0</v>
      </c>
      <c r="R22" s="5" t="s">
        <v>112</v>
      </c>
      <c r="S22" s="5">
        <v>4</v>
      </c>
      <c r="T22" s="5" t="s">
        <v>260</v>
      </c>
      <c r="U22" s="5" t="s">
        <v>261</v>
      </c>
      <c r="V22" s="5"/>
      <c r="W22" s="175">
        <v>45689</v>
      </c>
      <c r="X22" s="175">
        <v>45689</v>
      </c>
      <c r="Y22" s="5" t="s">
        <v>115</v>
      </c>
      <c r="Z22" s="3" t="s">
        <v>267</v>
      </c>
      <c r="AA22" s="2" t="s">
        <v>268</v>
      </c>
      <c r="AB22" s="3" t="s">
        <v>118</v>
      </c>
      <c r="AC22" s="3" t="s">
        <v>269</v>
      </c>
      <c r="AD22" s="50"/>
      <c r="AE22" s="50"/>
      <c r="AF22" s="12">
        <f t="shared" si="0"/>
        <v>70</v>
      </c>
      <c r="AG22" s="7">
        <v>60</v>
      </c>
      <c r="AH22" s="7" t="s">
        <v>270</v>
      </c>
      <c r="AI22" s="7">
        <v>60</v>
      </c>
      <c r="AJ22" s="7"/>
      <c r="AK22" s="7">
        <v>100</v>
      </c>
      <c r="AL22" s="7" t="s">
        <v>271</v>
      </c>
      <c r="AM22" s="7">
        <v>80</v>
      </c>
      <c r="AN22" s="7"/>
      <c r="AO22" s="63">
        <v>5.8</v>
      </c>
      <c r="AP22" s="58">
        <v>1600</v>
      </c>
      <c r="AQ22" s="58">
        <v>330</v>
      </c>
      <c r="AR22" s="58">
        <f>AVERAGE(350,330)</f>
        <v>340</v>
      </c>
      <c r="AS22" s="30">
        <v>13398</v>
      </c>
      <c r="AT22" s="30">
        <v>9280</v>
      </c>
      <c r="AU22" s="30">
        <v>22678</v>
      </c>
      <c r="AV22" s="197">
        <v>13804</v>
      </c>
      <c r="AW22" s="197">
        <v>9280</v>
      </c>
      <c r="AX22" s="197">
        <v>23084</v>
      </c>
      <c r="AY22" s="202"/>
      <c r="AZ22" s="202"/>
      <c r="BA22" s="202">
        <v>0</v>
      </c>
      <c r="BB22" s="189" t="s">
        <v>277</v>
      </c>
      <c r="BC22" s="189"/>
      <c r="BD22" s="190">
        <v>3</v>
      </c>
      <c r="BE22" s="30"/>
      <c r="BF22" s="186"/>
      <c r="BG22" s="183"/>
      <c r="BH22" s="183"/>
    </row>
    <row r="23" spans="1:60" ht="30" hidden="1" customHeight="1">
      <c r="A23" s="115" t="s">
        <v>122</v>
      </c>
      <c r="B23" s="116" t="s">
        <v>256</v>
      </c>
      <c r="C23" s="116" t="s">
        <v>278</v>
      </c>
      <c r="D23" s="117" t="s">
        <v>258</v>
      </c>
      <c r="E23" s="117" t="s">
        <v>201</v>
      </c>
      <c r="F23" s="117" t="s">
        <v>166</v>
      </c>
      <c r="G23" s="116" t="s">
        <v>279</v>
      </c>
      <c r="H23" s="116"/>
      <c r="I23" s="117"/>
      <c r="J23" s="5" t="s">
        <v>178</v>
      </c>
      <c r="K23" s="5">
        <v>1</v>
      </c>
      <c r="L23" s="5" t="s">
        <v>178</v>
      </c>
      <c r="M23" s="5">
        <v>1</v>
      </c>
      <c r="N23" s="7"/>
      <c r="O23" s="7"/>
      <c r="P23" s="5" t="s">
        <v>179</v>
      </c>
      <c r="Q23" s="5"/>
      <c r="R23" s="5" t="s">
        <v>112</v>
      </c>
      <c r="S23" s="5">
        <v>3</v>
      </c>
      <c r="T23" s="5" t="s">
        <v>260</v>
      </c>
      <c r="U23" s="41" t="s">
        <v>261</v>
      </c>
      <c r="V23" s="5"/>
      <c r="W23" s="175">
        <v>45689</v>
      </c>
      <c r="X23" s="175">
        <v>45689</v>
      </c>
      <c r="Y23" s="5" t="s">
        <v>115</v>
      </c>
      <c r="Z23" s="3"/>
      <c r="AA23" s="2"/>
      <c r="AB23" s="3"/>
      <c r="AC23" s="3"/>
      <c r="AD23" s="50"/>
      <c r="AE23" s="50"/>
      <c r="AF23" s="12">
        <f t="shared" si="0"/>
        <v>66</v>
      </c>
      <c r="AG23" s="7">
        <v>60</v>
      </c>
      <c r="AH23" s="7" t="s">
        <v>270</v>
      </c>
      <c r="AI23" s="7">
        <v>60</v>
      </c>
      <c r="AJ23" s="7"/>
      <c r="AK23" s="7">
        <v>80</v>
      </c>
      <c r="AL23" s="7"/>
      <c r="AM23" s="7">
        <v>80</v>
      </c>
      <c r="AN23" s="7"/>
      <c r="AO23" s="63">
        <v>5.8</v>
      </c>
      <c r="AP23" s="58">
        <v>1600</v>
      </c>
      <c r="AQ23" s="58">
        <v>330</v>
      </c>
      <c r="AR23" s="58">
        <v>330</v>
      </c>
      <c r="AS23" s="30">
        <v>11484</v>
      </c>
      <c r="AT23" s="30">
        <v>9280</v>
      </c>
      <c r="AU23" s="30">
        <v>20764</v>
      </c>
      <c r="AV23" s="197">
        <v>11484</v>
      </c>
      <c r="AW23" s="197">
        <v>9280</v>
      </c>
      <c r="AX23" s="197">
        <v>20764</v>
      </c>
      <c r="AY23" s="202"/>
      <c r="AZ23" s="202"/>
      <c r="BA23" s="202">
        <v>0</v>
      </c>
      <c r="BB23" s="189" t="s">
        <v>280</v>
      </c>
      <c r="BC23" s="189"/>
      <c r="BD23" s="190">
        <v>3</v>
      </c>
      <c r="BE23" s="30"/>
      <c r="BF23" s="186"/>
      <c r="BG23" s="183"/>
      <c r="BH23" s="183"/>
    </row>
    <row r="24" spans="1:60" ht="30" hidden="1" customHeight="1">
      <c r="A24" s="115" t="s">
        <v>122</v>
      </c>
      <c r="B24" s="116" t="s">
        <v>281</v>
      </c>
      <c r="C24" s="116" t="s">
        <v>282</v>
      </c>
      <c r="D24" s="117" t="s">
        <v>283</v>
      </c>
      <c r="E24" s="117" t="s">
        <v>165</v>
      </c>
      <c r="F24" s="117" t="s">
        <v>166</v>
      </c>
      <c r="G24" s="116" t="s">
        <v>284</v>
      </c>
      <c r="H24" s="116"/>
      <c r="I24" s="117"/>
      <c r="J24" s="5" t="s">
        <v>110</v>
      </c>
      <c r="K24" s="5">
        <v>1</v>
      </c>
      <c r="L24" s="5" t="s">
        <v>110</v>
      </c>
      <c r="M24" s="5">
        <v>1</v>
      </c>
      <c r="N24" s="7" t="s">
        <v>115</v>
      </c>
      <c r="O24" s="7">
        <v>1</v>
      </c>
      <c r="P24" s="5" t="s">
        <v>111</v>
      </c>
      <c r="Q24" s="5"/>
      <c r="R24" s="5" t="s">
        <v>112</v>
      </c>
      <c r="S24" s="5">
        <v>5</v>
      </c>
      <c r="T24" s="5" t="s">
        <v>285</v>
      </c>
      <c r="U24" s="41"/>
      <c r="V24" s="5"/>
      <c r="W24" s="175">
        <v>45689</v>
      </c>
      <c r="X24" s="175">
        <v>45689</v>
      </c>
      <c r="Y24" s="5" t="s">
        <v>115</v>
      </c>
      <c r="Z24" s="3" t="s">
        <v>116</v>
      </c>
      <c r="AA24" s="3" t="s">
        <v>286</v>
      </c>
      <c r="AB24" s="3" t="s">
        <v>118</v>
      </c>
      <c r="AC24" s="3" t="s">
        <v>287</v>
      </c>
      <c r="AD24" s="3"/>
      <c r="AE24" s="3"/>
      <c r="AF24" s="12">
        <f t="shared" si="0"/>
        <v>64</v>
      </c>
      <c r="AG24" s="39">
        <v>60</v>
      </c>
      <c r="AH24" s="39" t="s">
        <v>288</v>
      </c>
      <c r="AI24" s="39">
        <v>80</v>
      </c>
      <c r="AJ24" s="39" t="s">
        <v>172</v>
      </c>
      <c r="AK24" s="39">
        <v>40</v>
      </c>
      <c r="AL24" s="39"/>
      <c r="AM24" s="39">
        <v>80</v>
      </c>
      <c r="AN24" s="39"/>
      <c r="AO24" s="63">
        <v>5.8</v>
      </c>
      <c r="AP24" s="58">
        <v>1600</v>
      </c>
      <c r="AQ24" s="58">
        <v>330</v>
      </c>
      <c r="AR24" s="58">
        <v>330</v>
      </c>
      <c r="AS24" s="30">
        <v>15312</v>
      </c>
      <c r="AT24" s="30">
        <v>9280</v>
      </c>
      <c r="AU24" s="30">
        <v>24592</v>
      </c>
      <c r="AV24" s="197">
        <v>15312</v>
      </c>
      <c r="AW24" s="197">
        <v>9280</v>
      </c>
      <c r="AX24" s="197">
        <v>24592</v>
      </c>
      <c r="AY24" s="202"/>
      <c r="AZ24" s="202"/>
      <c r="BA24" s="202">
        <v>0</v>
      </c>
      <c r="BB24" s="189" t="s">
        <v>289</v>
      </c>
      <c r="BC24" s="189"/>
      <c r="BD24" s="189">
        <v>3</v>
      </c>
      <c r="BE24" s="30"/>
      <c r="BF24" s="186"/>
      <c r="BG24" s="183"/>
      <c r="BH24" s="183"/>
    </row>
    <row r="25" spans="1:60" ht="30" hidden="1" customHeight="1">
      <c r="A25" s="115" t="s">
        <v>290</v>
      </c>
      <c r="B25" s="116" t="s">
        <v>291</v>
      </c>
      <c r="C25" s="116"/>
      <c r="D25" s="117" t="s">
        <v>292</v>
      </c>
      <c r="E25" s="117" t="s">
        <v>216</v>
      </c>
      <c r="F25" s="117" t="s">
        <v>293</v>
      </c>
      <c r="G25" s="116" t="s">
        <v>294</v>
      </c>
      <c r="H25" s="116"/>
      <c r="I25" s="117" t="s">
        <v>109</v>
      </c>
      <c r="J25" s="5" t="s">
        <v>110</v>
      </c>
      <c r="K25" s="5">
        <v>1</v>
      </c>
      <c r="L25" s="5" t="s">
        <v>110</v>
      </c>
      <c r="M25" s="5">
        <v>1</v>
      </c>
      <c r="N25" s="7" t="s">
        <v>115</v>
      </c>
      <c r="O25" s="7">
        <v>1</v>
      </c>
      <c r="P25" s="5" t="s">
        <v>111</v>
      </c>
      <c r="Q25" s="5">
        <v>1</v>
      </c>
      <c r="R25" s="5" t="s">
        <v>112</v>
      </c>
      <c r="S25" s="5">
        <v>11</v>
      </c>
      <c r="T25" s="41" t="s">
        <v>295</v>
      </c>
      <c r="U25" s="41" t="s">
        <v>296</v>
      </c>
      <c r="V25" s="5" t="s">
        <v>115</v>
      </c>
      <c r="W25" s="175">
        <v>45691</v>
      </c>
      <c r="X25" s="175">
        <v>45702</v>
      </c>
      <c r="Y25" s="5" t="s">
        <v>115</v>
      </c>
      <c r="Z25" s="3"/>
      <c r="AA25" s="2"/>
      <c r="AB25" s="3"/>
      <c r="AC25" s="3"/>
      <c r="AD25" s="50"/>
      <c r="AE25" s="50"/>
      <c r="AF25" s="12">
        <f t="shared" si="0"/>
        <v>62</v>
      </c>
      <c r="AG25" s="7">
        <v>40</v>
      </c>
      <c r="AH25" s="7"/>
      <c r="AI25" s="7">
        <v>60</v>
      </c>
      <c r="AJ25" s="7"/>
      <c r="AK25" s="7">
        <v>100</v>
      </c>
      <c r="AL25" s="7"/>
      <c r="AM25" s="7">
        <v>80</v>
      </c>
      <c r="AN25" s="7"/>
      <c r="AO25" s="63">
        <v>5.8</v>
      </c>
      <c r="AP25" s="58">
        <v>800</v>
      </c>
      <c r="AQ25" s="58">
        <v>370</v>
      </c>
      <c r="AR25" s="58">
        <v>370</v>
      </c>
      <c r="AS25" s="30">
        <v>0</v>
      </c>
      <c r="AT25" s="30"/>
      <c r="AU25" s="30">
        <v>0</v>
      </c>
      <c r="AV25" s="197">
        <v>0</v>
      </c>
      <c r="AW25" s="197"/>
      <c r="AX25" s="197">
        <v>0</v>
      </c>
      <c r="AY25" s="202">
        <v>0</v>
      </c>
      <c r="AZ25" s="202">
        <v>404.33</v>
      </c>
      <c r="BA25" s="202">
        <v>0</v>
      </c>
      <c r="BB25" s="189" t="s">
        <v>297</v>
      </c>
      <c r="BC25" s="189" t="s">
        <v>298</v>
      </c>
      <c r="BD25" s="190">
        <v>2</v>
      </c>
      <c r="BE25" s="30"/>
      <c r="BF25" s="186"/>
      <c r="BG25" s="183" t="s">
        <v>299</v>
      </c>
      <c r="BH25" s="183"/>
    </row>
    <row r="26" spans="1:60" ht="30" hidden="1" customHeight="1">
      <c r="A26" s="115" t="s">
        <v>248</v>
      </c>
      <c r="B26" s="116" t="s">
        <v>300</v>
      </c>
      <c r="C26" s="116"/>
      <c r="D26" s="116" t="s">
        <v>301</v>
      </c>
      <c r="E26" s="117" t="s">
        <v>126</v>
      </c>
      <c r="F26" s="117" t="s">
        <v>293</v>
      </c>
      <c r="G26" s="116" t="s">
        <v>302</v>
      </c>
      <c r="H26" s="116"/>
      <c r="I26" s="117" t="s">
        <v>129</v>
      </c>
      <c r="J26" s="5" t="s">
        <v>110</v>
      </c>
      <c r="K26" s="5">
        <v>1</v>
      </c>
      <c r="L26" s="5" t="s">
        <v>110</v>
      </c>
      <c r="M26" s="5">
        <v>1</v>
      </c>
      <c r="N26" s="7" t="s">
        <v>115</v>
      </c>
      <c r="O26" s="7">
        <v>1</v>
      </c>
      <c r="P26" s="5" t="s">
        <v>303</v>
      </c>
      <c r="Q26" s="5">
        <v>1</v>
      </c>
      <c r="R26" s="5" t="s">
        <v>112</v>
      </c>
      <c r="S26" s="5">
        <v>5</v>
      </c>
      <c r="T26" s="5" t="s">
        <v>304</v>
      </c>
      <c r="U26" s="5" t="s">
        <v>305</v>
      </c>
      <c r="V26" s="5" t="s">
        <v>115</v>
      </c>
      <c r="W26" s="175">
        <v>45691</v>
      </c>
      <c r="X26" s="175">
        <v>45695</v>
      </c>
      <c r="Y26" s="5"/>
      <c r="Z26" s="3" t="s">
        <v>306</v>
      </c>
      <c r="AA26" s="2"/>
      <c r="AB26" s="3"/>
      <c r="AC26" s="3"/>
      <c r="AD26" s="50"/>
      <c r="AE26" s="50"/>
      <c r="AF26" s="12">
        <f t="shared" si="0"/>
        <v>16</v>
      </c>
      <c r="AG26" s="7">
        <v>40</v>
      </c>
      <c r="AH26" s="7"/>
      <c r="AI26" s="7"/>
      <c r="AJ26" s="7"/>
      <c r="AK26" s="7"/>
      <c r="AL26" s="7"/>
      <c r="AM26" s="7"/>
      <c r="AN26" s="7"/>
      <c r="AO26" s="63">
        <v>5.8</v>
      </c>
      <c r="AP26" s="58">
        <v>0</v>
      </c>
      <c r="AQ26" s="58">
        <v>0</v>
      </c>
      <c r="AR26" s="58">
        <v>0</v>
      </c>
      <c r="AS26" s="30"/>
      <c r="AT26" s="30"/>
      <c r="AU26" s="30">
        <v>0</v>
      </c>
      <c r="AV26" s="197">
        <v>0</v>
      </c>
      <c r="AW26" s="197">
        <v>0</v>
      </c>
      <c r="AX26" s="197">
        <v>0</v>
      </c>
      <c r="AY26" s="202"/>
      <c r="AZ26" s="202">
        <v>519.71</v>
      </c>
      <c r="BA26" s="202">
        <v>519.71</v>
      </c>
      <c r="BB26" s="189" t="s">
        <v>307</v>
      </c>
      <c r="BC26" s="189" t="s">
        <v>308</v>
      </c>
      <c r="BD26" s="114"/>
      <c r="BE26" s="30"/>
      <c r="BF26" s="186"/>
      <c r="BG26" s="183"/>
      <c r="BH26" s="183"/>
    </row>
    <row r="27" spans="1:60" ht="30" hidden="1" customHeight="1">
      <c r="A27" s="115" t="s">
        <v>122</v>
      </c>
      <c r="B27" s="116" t="s">
        <v>256</v>
      </c>
      <c r="C27" s="116" t="s">
        <v>257</v>
      </c>
      <c r="D27" s="117" t="s">
        <v>258</v>
      </c>
      <c r="E27" s="117" t="s">
        <v>309</v>
      </c>
      <c r="F27" s="117" t="s">
        <v>265</v>
      </c>
      <c r="G27" s="119" t="s">
        <v>310</v>
      </c>
      <c r="H27" s="116"/>
      <c r="I27" s="117" t="s">
        <v>311</v>
      </c>
      <c r="J27" s="5" t="s">
        <v>110</v>
      </c>
      <c r="K27" s="5">
        <v>0</v>
      </c>
      <c r="L27" s="5" t="s">
        <v>110</v>
      </c>
      <c r="M27" s="5">
        <v>0</v>
      </c>
      <c r="N27" s="7"/>
      <c r="O27" s="7"/>
      <c r="P27" s="5" t="s">
        <v>312</v>
      </c>
      <c r="Q27" s="5">
        <v>1</v>
      </c>
      <c r="R27" s="5" t="s">
        <v>112</v>
      </c>
      <c r="S27" s="5">
        <v>6</v>
      </c>
      <c r="T27" s="5" t="s">
        <v>260</v>
      </c>
      <c r="U27" s="5" t="s">
        <v>261</v>
      </c>
      <c r="V27" s="5"/>
      <c r="W27" s="175">
        <v>45696</v>
      </c>
      <c r="X27" s="175">
        <v>45701</v>
      </c>
      <c r="Y27" s="5"/>
      <c r="Z27" s="3" t="s">
        <v>313</v>
      </c>
      <c r="AA27" s="2" t="s">
        <v>268</v>
      </c>
      <c r="AB27" s="3" t="s">
        <v>118</v>
      </c>
      <c r="AC27" s="3"/>
      <c r="AD27" s="50"/>
      <c r="AE27" s="50"/>
      <c r="AF27" s="12">
        <f t="shared" si="0"/>
        <v>66</v>
      </c>
      <c r="AG27" s="7">
        <v>60</v>
      </c>
      <c r="AH27" s="7" t="s">
        <v>270</v>
      </c>
      <c r="AI27" s="7">
        <v>60</v>
      </c>
      <c r="AJ27" s="7"/>
      <c r="AK27" s="7">
        <v>80</v>
      </c>
      <c r="AL27" s="7"/>
      <c r="AM27" s="7">
        <v>80</v>
      </c>
      <c r="AN27" s="7"/>
      <c r="AO27" s="58">
        <v>5.8</v>
      </c>
      <c r="AP27" s="58">
        <v>0</v>
      </c>
      <c r="AQ27" s="58">
        <v>0</v>
      </c>
      <c r="AR27" s="58">
        <v>0</v>
      </c>
      <c r="AS27" s="30"/>
      <c r="AT27" s="30"/>
      <c r="AU27" s="30">
        <v>0</v>
      </c>
      <c r="AV27" s="197">
        <v>0</v>
      </c>
      <c r="AW27" s="197">
        <v>0</v>
      </c>
      <c r="AX27" s="197">
        <v>0</v>
      </c>
      <c r="AY27" s="202">
        <v>7461.85</v>
      </c>
      <c r="AZ27" s="202">
        <v>604.97</v>
      </c>
      <c r="BA27" s="202">
        <f>604.97+7461.85</f>
        <v>8066.8200000000006</v>
      </c>
      <c r="BB27" s="189" t="s">
        <v>314</v>
      </c>
      <c r="BC27" s="189" t="s">
        <v>273</v>
      </c>
      <c r="BD27" s="114"/>
      <c r="BE27" s="30"/>
      <c r="BF27" s="186"/>
      <c r="BG27" s="183"/>
      <c r="BH27" s="183"/>
    </row>
    <row r="28" spans="1:60" ht="30" hidden="1" customHeight="1">
      <c r="A28" s="115" t="s">
        <v>122</v>
      </c>
      <c r="B28" s="116" t="s">
        <v>256</v>
      </c>
      <c r="C28" s="116" t="s">
        <v>257</v>
      </c>
      <c r="D28" s="117" t="s">
        <v>258</v>
      </c>
      <c r="E28" s="117" t="s">
        <v>315</v>
      </c>
      <c r="F28" s="117" t="s">
        <v>265</v>
      </c>
      <c r="G28" s="116" t="s">
        <v>310</v>
      </c>
      <c r="H28" s="116"/>
      <c r="I28" s="117" t="s">
        <v>311</v>
      </c>
      <c r="J28" s="5" t="s">
        <v>110</v>
      </c>
      <c r="K28" s="5">
        <v>1</v>
      </c>
      <c r="L28" s="5" t="s">
        <v>110</v>
      </c>
      <c r="M28" s="5">
        <v>1</v>
      </c>
      <c r="N28" s="7"/>
      <c r="O28" s="7"/>
      <c r="P28" s="5" t="s">
        <v>312</v>
      </c>
      <c r="Q28" s="5">
        <v>1</v>
      </c>
      <c r="R28" s="5" t="s">
        <v>112</v>
      </c>
      <c r="S28" s="5">
        <v>6</v>
      </c>
      <c r="T28" s="5" t="s">
        <v>260</v>
      </c>
      <c r="U28" s="41" t="s">
        <v>261</v>
      </c>
      <c r="V28" s="5"/>
      <c r="W28" s="175">
        <v>45696</v>
      </c>
      <c r="X28" s="175">
        <v>45701</v>
      </c>
      <c r="Y28" s="5"/>
      <c r="Z28" s="3" t="s">
        <v>313</v>
      </c>
      <c r="AA28" s="2" t="s">
        <v>268</v>
      </c>
      <c r="AB28" s="3" t="s">
        <v>118</v>
      </c>
      <c r="AC28" s="3"/>
      <c r="AD28" s="50"/>
      <c r="AE28" s="50"/>
      <c r="AF28" s="12">
        <f t="shared" si="0"/>
        <v>66</v>
      </c>
      <c r="AG28" s="7">
        <v>60</v>
      </c>
      <c r="AH28" s="7" t="s">
        <v>270</v>
      </c>
      <c r="AI28" s="7">
        <v>60</v>
      </c>
      <c r="AJ28" s="7"/>
      <c r="AK28" s="7">
        <v>80</v>
      </c>
      <c r="AL28" s="7"/>
      <c r="AM28" s="7">
        <v>80</v>
      </c>
      <c r="AN28" s="7"/>
      <c r="AO28" s="58">
        <v>5.8</v>
      </c>
      <c r="AP28" s="58">
        <v>0</v>
      </c>
      <c r="AQ28" s="58">
        <v>0</v>
      </c>
      <c r="AR28" s="58">
        <v>0</v>
      </c>
      <c r="AS28" s="30"/>
      <c r="AT28" s="30"/>
      <c r="AU28" s="30">
        <v>0</v>
      </c>
      <c r="AV28" s="197">
        <v>0</v>
      </c>
      <c r="AW28" s="197">
        <v>0</v>
      </c>
      <c r="AX28" s="197">
        <v>0</v>
      </c>
      <c r="AY28" s="202">
        <v>6962.04</v>
      </c>
      <c r="AZ28" s="202">
        <v>514.45000000000005</v>
      </c>
      <c r="BA28" s="202">
        <f>6962.04+514.45</f>
        <v>7476.49</v>
      </c>
      <c r="BB28" s="189" t="s">
        <v>316</v>
      </c>
      <c r="BC28" s="189" t="s">
        <v>273</v>
      </c>
      <c r="BD28" s="114"/>
      <c r="BE28" s="30"/>
      <c r="BF28" s="186"/>
      <c r="BG28" s="183"/>
      <c r="BH28" s="183"/>
    </row>
    <row r="29" spans="1:60" ht="30" customHeight="1">
      <c r="A29" s="115" t="s">
        <v>122</v>
      </c>
      <c r="B29" s="116" t="s">
        <v>256</v>
      </c>
      <c r="C29" s="116" t="s">
        <v>257</v>
      </c>
      <c r="D29" s="117" t="s">
        <v>258</v>
      </c>
      <c r="E29" s="117" t="s">
        <v>195</v>
      </c>
      <c r="F29" s="117" t="s">
        <v>265</v>
      </c>
      <c r="G29" s="116" t="s">
        <v>310</v>
      </c>
      <c r="H29" s="119"/>
      <c r="I29" s="117" t="s">
        <v>311</v>
      </c>
      <c r="J29" s="5"/>
      <c r="K29" s="5"/>
      <c r="L29" s="5" t="s">
        <v>110</v>
      </c>
      <c r="M29" s="5">
        <v>0</v>
      </c>
      <c r="N29" s="7" t="s">
        <v>115</v>
      </c>
      <c r="O29" s="7">
        <v>1</v>
      </c>
      <c r="P29" s="5" t="s">
        <v>312</v>
      </c>
      <c r="Q29" s="5">
        <v>1</v>
      </c>
      <c r="R29" s="5" t="s">
        <v>112</v>
      </c>
      <c r="S29" s="5">
        <v>6</v>
      </c>
      <c r="T29" s="5" t="s">
        <v>260</v>
      </c>
      <c r="U29" s="41" t="s">
        <v>261</v>
      </c>
      <c r="V29" s="5"/>
      <c r="W29" s="175">
        <v>45696</v>
      </c>
      <c r="X29" s="175">
        <v>45701</v>
      </c>
      <c r="Y29" s="5"/>
      <c r="Z29" s="3" t="s">
        <v>313</v>
      </c>
      <c r="AA29" s="2" t="s">
        <v>268</v>
      </c>
      <c r="AB29" s="3"/>
      <c r="AC29" s="3"/>
      <c r="AD29" s="50"/>
      <c r="AE29" s="50"/>
      <c r="AF29" s="12">
        <f t="shared" si="0"/>
        <v>66</v>
      </c>
      <c r="AG29" s="7">
        <v>60</v>
      </c>
      <c r="AH29" s="7" t="s">
        <v>270</v>
      </c>
      <c r="AI29" s="7">
        <v>60</v>
      </c>
      <c r="AJ29" s="7"/>
      <c r="AK29" s="7">
        <v>80</v>
      </c>
      <c r="AL29" s="7"/>
      <c r="AM29" s="7">
        <v>80</v>
      </c>
      <c r="AN29" s="7"/>
      <c r="AO29" s="58">
        <v>5.8</v>
      </c>
      <c r="AP29" s="58">
        <v>0</v>
      </c>
      <c r="AQ29" s="58">
        <v>0</v>
      </c>
      <c r="AR29" s="58">
        <v>0</v>
      </c>
      <c r="AS29" s="30"/>
      <c r="AT29" s="30"/>
      <c r="AU29" s="30">
        <v>0</v>
      </c>
      <c r="AV29" s="197">
        <v>0</v>
      </c>
      <c r="AW29" s="197">
        <v>0</v>
      </c>
      <c r="AX29" s="197">
        <v>0</v>
      </c>
      <c r="AY29" s="203">
        <v>11392.91</v>
      </c>
      <c r="AZ29" s="203">
        <v>6899.25</v>
      </c>
      <c r="BA29" s="203">
        <f>11392.91+6899.25</f>
        <v>18292.16</v>
      </c>
      <c r="BB29" s="189" t="s">
        <v>317</v>
      </c>
      <c r="BC29" s="191" t="s">
        <v>273</v>
      </c>
      <c r="BD29" s="193"/>
      <c r="BE29" s="30"/>
      <c r="BF29" s="186"/>
      <c r="BG29" s="183"/>
      <c r="BH29" s="183"/>
    </row>
    <row r="30" spans="1:60" ht="30" hidden="1" customHeight="1">
      <c r="A30" s="115" t="s">
        <v>122</v>
      </c>
      <c r="B30" s="116" t="s">
        <v>318</v>
      </c>
      <c r="C30" s="116" t="s">
        <v>319</v>
      </c>
      <c r="D30" s="117" t="s">
        <v>320</v>
      </c>
      <c r="E30" s="117" t="s">
        <v>126</v>
      </c>
      <c r="F30" s="117" t="s">
        <v>321</v>
      </c>
      <c r="G30" s="116" t="s">
        <v>322</v>
      </c>
      <c r="H30" s="116"/>
      <c r="I30" s="117" t="s">
        <v>109</v>
      </c>
      <c r="J30" s="5" t="s">
        <v>110</v>
      </c>
      <c r="K30" s="5">
        <v>1</v>
      </c>
      <c r="L30" s="5" t="s">
        <v>110</v>
      </c>
      <c r="M30" s="5">
        <v>1</v>
      </c>
      <c r="N30" s="7" t="s">
        <v>115</v>
      </c>
      <c r="O30" s="7">
        <v>1</v>
      </c>
      <c r="P30" s="5" t="s">
        <v>111</v>
      </c>
      <c r="Q30" s="5">
        <v>1</v>
      </c>
      <c r="R30" s="5" t="s">
        <v>112</v>
      </c>
      <c r="S30" s="5">
        <v>3</v>
      </c>
      <c r="T30" s="5" t="s">
        <v>323</v>
      </c>
      <c r="U30" s="41" t="s">
        <v>323</v>
      </c>
      <c r="V30" s="5"/>
      <c r="W30" s="175">
        <v>45698</v>
      </c>
      <c r="X30" s="175">
        <v>45702</v>
      </c>
      <c r="Y30" s="5" t="s">
        <v>115</v>
      </c>
      <c r="Z30" s="3" t="s">
        <v>116</v>
      </c>
      <c r="AA30" s="3" t="s">
        <v>324</v>
      </c>
      <c r="AB30" s="3" t="s">
        <v>118</v>
      </c>
      <c r="AC30" s="3" t="s">
        <v>325</v>
      </c>
      <c r="AD30" s="3" t="s">
        <v>326</v>
      </c>
      <c r="AE30" s="3"/>
      <c r="AF30" s="12">
        <f t="shared" si="0"/>
        <v>80</v>
      </c>
      <c r="AG30" s="7">
        <v>80</v>
      </c>
      <c r="AH30" s="7"/>
      <c r="AI30" s="7">
        <v>80</v>
      </c>
      <c r="AJ30" s="7" t="s">
        <v>327</v>
      </c>
      <c r="AK30" s="7">
        <v>80</v>
      </c>
      <c r="AL30" s="7"/>
      <c r="AM30" s="7">
        <v>80</v>
      </c>
      <c r="AN30" s="7"/>
      <c r="AO30" s="63">
        <v>5.8</v>
      </c>
      <c r="AP30" s="58">
        <v>1600</v>
      </c>
      <c r="AQ30" s="58">
        <v>320</v>
      </c>
      <c r="AR30" s="58">
        <v>320</v>
      </c>
      <c r="AS30" s="30">
        <v>11136</v>
      </c>
      <c r="AT30" s="30"/>
      <c r="AU30" s="30">
        <v>11136</v>
      </c>
      <c r="AV30" s="197">
        <v>11136</v>
      </c>
      <c r="AW30" s="197"/>
      <c r="AX30" s="197">
        <v>11136</v>
      </c>
      <c r="AY30" s="202">
        <v>17149.97</v>
      </c>
      <c r="AZ30" s="202">
        <v>15369.17</v>
      </c>
      <c r="BA30" s="202">
        <v>17149.97</v>
      </c>
      <c r="BB30" s="189" t="s">
        <v>328</v>
      </c>
      <c r="BC30" s="189" t="s">
        <v>329</v>
      </c>
      <c r="BD30" s="189">
        <v>3</v>
      </c>
      <c r="BE30" s="30"/>
      <c r="BF30" s="186"/>
      <c r="BG30" s="183"/>
      <c r="BH30" s="183"/>
    </row>
    <row r="31" spans="1:60" ht="30" hidden="1" customHeight="1">
      <c r="A31" s="115" t="s">
        <v>122</v>
      </c>
      <c r="B31" s="116" t="s">
        <v>330</v>
      </c>
      <c r="C31" s="116" t="s">
        <v>331</v>
      </c>
      <c r="D31" s="117" t="s">
        <v>332</v>
      </c>
      <c r="E31" s="117" t="s">
        <v>126</v>
      </c>
      <c r="F31" s="117" t="s">
        <v>321</v>
      </c>
      <c r="G31" s="116" t="s">
        <v>333</v>
      </c>
      <c r="H31" s="116"/>
      <c r="I31" s="117" t="s">
        <v>109</v>
      </c>
      <c r="J31" s="5" t="s">
        <v>178</v>
      </c>
      <c r="K31" s="5">
        <v>1</v>
      </c>
      <c r="L31" s="5" t="s">
        <v>110</v>
      </c>
      <c r="M31" s="5">
        <v>0</v>
      </c>
      <c r="N31" s="7"/>
      <c r="O31" s="7"/>
      <c r="P31" s="5" t="s">
        <v>111</v>
      </c>
      <c r="Q31" s="5">
        <v>0</v>
      </c>
      <c r="R31" s="5" t="s">
        <v>112</v>
      </c>
      <c r="S31" s="5">
        <v>3</v>
      </c>
      <c r="T31" s="5" t="s">
        <v>323</v>
      </c>
      <c r="U31" s="41" t="s">
        <v>323</v>
      </c>
      <c r="V31" s="5"/>
      <c r="W31" s="175">
        <v>45698</v>
      </c>
      <c r="X31" s="175">
        <v>45702</v>
      </c>
      <c r="Y31" s="5" t="s">
        <v>115</v>
      </c>
      <c r="Z31" s="3" t="s">
        <v>116</v>
      </c>
      <c r="AA31" s="3" t="s">
        <v>334</v>
      </c>
      <c r="AB31" s="3" t="s">
        <v>118</v>
      </c>
      <c r="AC31" s="3" t="s">
        <v>325</v>
      </c>
      <c r="AD31" s="3" t="s">
        <v>326</v>
      </c>
      <c r="AE31" s="3"/>
      <c r="AF31" s="12">
        <f t="shared" si="0"/>
        <v>64</v>
      </c>
      <c r="AG31" s="7">
        <v>60</v>
      </c>
      <c r="AH31" s="7"/>
      <c r="AI31" s="7">
        <v>80</v>
      </c>
      <c r="AJ31" s="7" t="s">
        <v>335</v>
      </c>
      <c r="AK31" s="7">
        <v>40</v>
      </c>
      <c r="AL31" s="7"/>
      <c r="AM31" s="7">
        <v>80</v>
      </c>
      <c r="AN31" s="7"/>
      <c r="AO31" s="63">
        <v>5.8</v>
      </c>
      <c r="AP31" s="58">
        <v>1600</v>
      </c>
      <c r="AQ31" s="58">
        <v>330</v>
      </c>
      <c r="AR31" s="58">
        <v>330</v>
      </c>
      <c r="AS31" s="30">
        <v>11484</v>
      </c>
      <c r="AT31" s="30"/>
      <c r="AU31" s="30">
        <v>11484</v>
      </c>
      <c r="AV31" s="197">
        <v>0</v>
      </c>
      <c r="AW31" s="197"/>
      <c r="AX31" s="197">
        <v>0</v>
      </c>
      <c r="AY31" s="202">
        <v>0</v>
      </c>
      <c r="AZ31" s="202">
        <v>0</v>
      </c>
      <c r="BA31" s="202">
        <v>0</v>
      </c>
      <c r="BB31" s="189" t="s">
        <v>328</v>
      </c>
      <c r="BC31" s="189" t="s">
        <v>329</v>
      </c>
      <c r="BD31" s="189">
        <v>3</v>
      </c>
      <c r="BE31" s="30"/>
      <c r="BF31" s="186"/>
      <c r="BG31" s="183"/>
      <c r="BH31" s="183"/>
    </row>
    <row r="32" spans="1:60" ht="30" hidden="1" customHeight="1">
      <c r="A32" s="115" t="s">
        <v>336</v>
      </c>
      <c r="B32" s="120" t="s">
        <v>337</v>
      </c>
      <c r="C32" s="116">
        <v>2025</v>
      </c>
      <c r="D32" s="116" t="s">
        <v>338</v>
      </c>
      <c r="E32" s="117" t="s">
        <v>339</v>
      </c>
      <c r="F32" s="117" t="s">
        <v>340</v>
      </c>
      <c r="G32" s="120"/>
      <c r="H32" s="121"/>
      <c r="I32" s="5" t="s">
        <v>341</v>
      </c>
      <c r="J32" s="5" t="s">
        <v>110</v>
      </c>
      <c r="K32" s="5">
        <v>1</v>
      </c>
      <c r="L32" s="5" t="s">
        <v>110</v>
      </c>
      <c r="M32" s="5">
        <v>1</v>
      </c>
      <c r="N32" s="7" t="s">
        <v>115</v>
      </c>
      <c r="O32" s="7">
        <v>1</v>
      </c>
      <c r="P32" s="5" t="s">
        <v>111</v>
      </c>
      <c r="Q32" s="5">
        <v>1</v>
      </c>
      <c r="R32" s="5" t="s">
        <v>112</v>
      </c>
      <c r="S32" s="5">
        <v>3</v>
      </c>
      <c r="T32" s="5" t="s">
        <v>342</v>
      </c>
      <c r="U32" s="41" t="s">
        <v>343</v>
      </c>
      <c r="V32" s="5" t="s">
        <v>115</v>
      </c>
      <c r="W32" s="175">
        <v>45818</v>
      </c>
      <c r="X32" s="175">
        <v>45821</v>
      </c>
      <c r="Y32" s="5"/>
      <c r="Z32" s="3" t="s">
        <v>267</v>
      </c>
      <c r="AA32" s="2" t="s">
        <v>344</v>
      </c>
      <c r="AB32" s="3" t="s">
        <v>345</v>
      </c>
      <c r="AC32" s="3" t="s">
        <v>346</v>
      </c>
      <c r="AD32" s="3"/>
      <c r="AE32" s="3"/>
      <c r="AF32" s="12">
        <f t="shared" si="0"/>
        <v>62</v>
      </c>
      <c r="AG32" s="7">
        <v>60</v>
      </c>
      <c r="AH32" s="7"/>
      <c r="AI32" s="7">
        <v>80</v>
      </c>
      <c r="AJ32" s="7"/>
      <c r="AK32" s="7">
        <v>40</v>
      </c>
      <c r="AL32" s="7" t="s">
        <v>347</v>
      </c>
      <c r="AM32" s="7">
        <v>60</v>
      </c>
      <c r="AN32" s="7" t="s">
        <v>348</v>
      </c>
      <c r="AO32" s="63">
        <v>5.8</v>
      </c>
      <c r="AP32" s="58">
        <v>1600</v>
      </c>
      <c r="AQ32" s="58">
        <v>350</v>
      </c>
      <c r="AR32" s="58">
        <v>350</v>
      </c>
      <c r="AS32" s="30">
        <v>12180</v>
      </c>
      <c r="AT32" s="30">
        <v>9280</v>
      </c>
      <c r="AU32" s="30">
        <v>21460</v>
      </c>
      <c r="AV32" s="197">
        <v>12180</v>
      </c>
      <c r="AW32" s="197">
        <v>9280</v>
      </c>
      <c r="AX32" s="197">
        <v>21460</v>
      </c>
      <c r="AY32" s="202">
        <v>5412.85</v>
      </c>
      <c r="AZ32" s="202"/>
      <c r="BA32" s="202">
        <v>5412.85</v>
      </c>
      <c r="BB32" s="189" t="s">
        <v>349</v>
      </c>
      <c r="BC32" s="189" t="s">
        <v>350</v>
      </c>
      <c r="BD32" s="189">
        <v>3</v>
      </c>
      <c r="BE32" s="30"/>
      <c r="BF32" s="186"/>
      <c r="BG32" s="183"/>
      <c r="BH32" s="183"/>
    </row>
    <row r="33" spans="1:60" ht="30" hidden="1" customHeight="1">
      <c r="A33" s="168" t="s">
        <v>122</v>
      </c>
      <c r="B33" s="119" t="s">
        <v>351</v>
      </c>
      <c r="C33" s="119" t="s">
        <v>352</v>
      </c>
      <c r="D33" s="117" t="s">
        <v>353</v>
      </c>
      <c r="E33" s="117" t="s">
        <v>274</v>
      </c>
      <c r="F33" s="117" t="s">
        <v>275</v>
      </c>
      <c r="G33" s="116" t="s">
        <v>354</v>
      </c>
      <c r="H33" s="119"/>
      <c r="I33" s="118"/>
      <c r="J33" s="41" t="s">
        <v>110</v>
      </c>
      <c r="K33" s="41">
        <v>2</v>
      </c>
      <c r="L33" s="41" t="s">
        <v>178</v>
      </c>
      <c r="M33" s="5">
        <v>2</v>
      </c>
      <c r="N33" s="7"/>
      <c r="O33" s="7"/>
      <c r="P33" s="5" t="s">
        <v>179</v>
      </c>
      <c r="Q33" s="5"/>
      <c r="R33" s="5" t="s">
        <v>112</v>
      </c>
      <c r="S33" s="41">
        <v>5</v>
      </c>
      <c r="T33" s="5" t="s">
        <v>218</v>
      </c>
      <c r="U33" s="41" t="s">
        <v>219</v>
      </c>
      <c r="V33" s="41"/>
      <c r="W33" s="174">
        <v>45705</v>
      </c>
      <c r="X33" s="174">
        <v>45716</v>
      </c>
      <c r="Y33" s="41" t="s">
        <v>115</v>
      </c>
      <c r="Z33" s="42" t="s">
        <v>220</v>
      </c>
      <c r="AA33" s="37" t="s">
        <v>355</v>
      </c>
      <c r="AB33" s="42" t="s">
        <v>118</v>
      </c>
      <c r="AC33" s="42" t="s">
        <v>356</v>
      </c>
      <c r="AD33" s="51"/>
      <c r="AE33" s="51"/>
      <c r="AF33" s="38">
        <f t="shared" si="0"/>
        <v>80</v>
      </c>
      <c r="AG33" s="39">
        <v>80</v>
      </c>
      <c r="AH33" s="39" t="s">
        <v>357</v>
      </c>
      <c r="AI33" s="39">
        <v>80</v>
      </c>
      <c r="AJ33" s="39" t="s">
        <v>358</v>
      </c>
      <c r="AK33" s="39">
        <v>80</v>
      </c>
      <c r="AL33" s="39"/>
      <c r="AM33" s="39">
        <v>80</v>
      </c>
      <c r="AN33" s="39"/>
      <c r="AO33" s="63">
        <v>5.8</v>
      </c>
      <c r="AP33" s="58">
        <v>1600</v>
      </c>
      <c r="AQ33" s="58">
        <v>320</v>
      </c>
      <c r="AR33" s="58">
        <v>320</v>
      </c>
      <c r="AS33" s="30">
        <v>29696</v>
      </c>
      <c r="AT33" s="30">
        <v>18560</v>
      </c>
      <c r="AU33" s="30">
        <v>48256</v>
      </c>
      <c r="AV33" s="197">
        <v>29696</v>
      </c>
      <c r="AW33" s="197">
        <v>18560</v>
      </c>
      <c r="AX33" s="197">
        <v>48256</v>
      </c>
      <c r="AY33" s="203"/>
      <c r="AZ33" s="203"/>
      <c r="BA33" s="203">
        <v>0</v>
      </c>
      <c r="BB33" s="191" t="s">
        <v>359</v>
      </c>
      <c r="BC33" s="191"/>
      <c r="BD33" s="190">
        <v>3</v>
      </c>
      <c r="BE33" s="30"/>
      <c r="BF33" s="186"/>
      <c r="BG33" s="183"/>
      <c r="BH33" s="183"/>
    </row>
    <row r="34" spans="1:60" ht="30" hidden="1" customHeight="1">
      <c r="A34" s="168" t="s">
        <v>122</v>
      </c>
      <c r="B34" s="119" t="s">
        <v>351</v>
      </c>
      <c r="C34" s="119" t="s">
        <v>360</v>
      </c>
      <c r="D34" s="117" t="s">
        <v>353</v>
      </c>
      <c r="E34" s="117" t="s">
        <v>274</v>
      </c>
      <c r="F34" s="117" t="s">
        <v>275</v>
      </c>
      <c r="G34" s="116" t="s">
        <v>361</v>
      </c>
      <c r="H34" s="119"/>
      <c r="I34" s="117" t="s">
        <v>109</v>
      </c>
      <c r="J34" s="41" t="s">
        <v>110</v>
      </c>
      <c r="K34" s="41">
        <v>1</v>
      </c>
      <c r="L34" s="41" t="s">
        <v>110</v>
      </c>
      <c r="M34" s="41">
        <v>1</v>
      </c>
      <c r="N34" s="39" t="s">
        <v>115</v>
      </c>
      <c r="O34" s="39">
        <v>1</v>
      </c>
      <c r="P34" s="5" t="s">
        <v>111</v>
      </c>
      <c r="Q34" s="5">
        <v>1</v>
      </c>
      <c r="R34" s="5" t="s">
        <v>112</v>
      </c>
      <c r="S34" s="41">
        <v>12</v>
      </c>
      <c r="T34" s="5" t="s">
        <v>218</v>
      </c>
      <c r="U34" s="41" t="s">
        <v>219</v>
      </c>
      <c r="V34" s="5"/>
      <c r="W34" s="174">
        <v>45705</v>
      </c>
      <c r="X34" s="174">
        <v>45716</v>
      </c>
      <c r="Y34" s="41" t="s">
        <v>115</v>
      </c>
      <c r="Z34" s="42" t="s">
        <v>220</v>
      </c>
      <c r="AA34" s="37" t="s">
        <v>355</v>
      </c>
      <c r="AB34" s="42" t="s">
        <v>118</v>
      </c>
      <c r="AC34" s="42" t="s">
        <v>356</v>
      </c>
      <c r="AD34" s="51"/>
      <c r="AE34" s="51"/>
      <c r="AF34" s="38">
        <f t="shared" si="0"/>
        <v>80</v>
      </c>
      <c r="AG34" s="39">
        <v>80</v>
      </c>
      <c r="AH34" s="39" t="s">
        <v>357</v>
      </c>
      <c r="AI34" s="39">
        <v>80</v>
      </c>
      <c r="AJ34" s="39" t="s">
        <v>358</v>
      </c>
      <c r="AK34" s="39">
        <v>80</v>
      </c>
      <c r="AL34" s="39"/>
      <c r="AM34" s="39">
        <v>80</v>
      </c>
      <c r="AN34" s="39"/>
      <c r="AO34" s="63">
        <v>5.8</v>
      </c>
      <c r="AP34" s="58">
        <v>1600</v>
      </c>
      <c r="AQ34" s="58">
        <v>330</v>
      </c>
      <c r="AR34" s="58">
        <v>330</v>
      </c>
      <c r="AS34" s="30">
        <v>28710</v>
      </c>
      <c r="AT34" s="30"/>
      <c r="AU34" s="30">
        <v>28710</v>
      </c>
      <c r="AV34" s="197">
        <v>28710</v>
      </c>
      <c r="AW34" s="197"/>
      <c r="AX34" s="197">
        <v>28710</v>
      </c>
      <c r="AY34" s="203">
        <v>28208.35</v>
      </c>
      <c r="AZ34" s="203">
        <v>8994.6</v>
      </c>
      <c r="BA34" s="203">
        <v>28208.35</v>
      </c>
      <c r="BB34" s="191" t="s">
        <v>277</v>
      </c>
      <c r="BC34" s="191" t="s">
        <v>362</v>
      </c>
      <c r="BD34" s="190">
        <v>3</v>
      </c>
      <c r="BE34" s="30"/>
      <c r="BF34" s="186"/>
      <c r="BG34" s="183"/>
      <c r="BH34" s="183"/>
    </row>
    <row r="35" spans="1:60" ht="30" hidden="1" customHeight="1">
      <c r="A35" s="168" t="s">
        <v>122</v>
      </c>
      <c r="B35" s="119" t="s">
        <v>351</v>
      </c>
      <c r="C35" s="119" t="s">
        <v>360</v>
      </c>
      <c r="D35" s="117" t="s">
        <v>353</v>
      </c>
      <c r="E35" s="117" t="s">
        <v>274</v>
      </c>
      <c r="F35" s="117" t="s">
        <v>275</v>
      </c>
      <c r="G35" s="116" t="s">
        <v>361</v>
      </c>
      <c r="H35" s="119"/>
      <c r="I35" s="117" t="s">
        <v>109</v>
      </c>
      <c r="J35" s="41" t="s">
        <v>110</v>
      </c>
      <c r="K35" s="41">
        <v>1</v>
      </c>
      <c r="L35" s="41" t="s">
        <v>110</v>
      </c>
      <c r="M35" s="41">
        <v>1</v>
      </c>
      <c r="N35" s="39" t="s">
        <v>115</v>
      </c>
      <c r="O35" s="39">
        <v>1</v>
      </c>
      <c r="P35" s="5" t="s">
        <v>111</v>
      </c>
      <c r="Q35" s="5">
        <v>1</v>
      </c>
      <c r="R35" s="5" t="s">
        <v>112</v>
      </c>
      <c r="S35" s="41">
        <v>12</v>
      </c>
      <c r="T35" s="5" t="s">
        <v>218</v>
      </c>
      <c r="U35" s="41" t="s">
        <v>219</v>
      </c>
      <c r="V35" s="5"/>
      <c r="W35" s="174">
        <v>45705</v>
      </c>
      <c r="X35" s="174">
        <v>45716</v>
      </c>
      <c r="Y35" s="41" t="s">
        <v>115</v>
      </c>
      <c r="Z35" s="42" t="s">
        <v>220</v>
      </c>
      <c r="AA35" s="37" t="s">
        <v>355</v>
      </c>
      <c r="AB35" s="42" t="s">
        <v>118</v>
      </c>
      <c r="AC35" s="42" t="s">
        <v>356</v>
      </c>
      <c r="AD35" s="51"/>
      <c r="AE35" s="51"/>
      <c r="AF35" s="38">
        <f t="shared" si="0"/>
        <v>80</v>
      </c>
      <c r="AG35" s="39">
        <v>80</v>
      </c>
      <c r="AH35" s="39" t="s">
        <v>357</v>
      </c>
      <c r="AI35" s="39">
        <v>80</v>
      </c>
      <c r="AJ35" s="39" t="s">
        <v>358</v>
      </c>
      <c r="AK35" s="39">
        <v>80</v>
      </c>
      <c r="AL35" s="39"/>
      <c r="AM35" s="39">
        <v>80</v>
      </c>
      <c r="AN35" s="39"/>
      <c r="AO35" s="63">
        <v>5.8</v>
      </c>
      <c r="AP35" s="58">
        <v>1600</v>
      </c>
      <c r="AQ35" s="58">
        <v>330</v>
      </c>
      <c r="AR35" s="58">
        <v>330</v>
      </c>
      <c r="AS35" s="30">
        <v>28710</v>
      </c>
      <c r="AT35" s="30"/>
      <c r="AU35" s="30">
        <v>28710</v>
      </c>
      <c r="AV35" s="197">
        <v>28710</v>
      </c>
      <c r="AW35" s="197"/>
      <c r="AX35" s="197">
        <v>28710</v>
      </c>
      <c r="AY35" s="203">
        <v>28208.35</v>
      </c>
      <c r="AZ35" s="203">
        <v>8994.6</v>
      </c>
      <c r="BA35" s="203">
        <v>28208.35</v>
      </c>
      <c r="BB35" s="191" t="s">
        <v>363</v>
      </c>
      <c r="BC35" s="191" t="s">
        <v>362</v>
      </c>
      <c r="BD35" s="190">
        <v>3</v>
      </c>
      <c r="BE35" s="30"/>
      <c r="BF35" s="186"/>
      <c r="BG35" s="183"/>
      <c r="BH35" s="183"/>
    </row>
    <row r="36" spans="1:60" ht="30" hidden="1" customHeight="1">
      <c r="A36" s="5" t="s">
        <v>122</v>
      </c>
      <c r="B36" s="119" t="s">
        <v>364</v>
      </c>
      <c r="C36" s="116" t="s">
        <v>365</v>
      </c>
      <c r="D36" s="117" t="s">
        <v>366</v>
      </c>
      <c r="E36" s="117" t="s">
        <v>126</v>
      </c>
      <c r="F36" s="118" t="s">
        <v>152</v>
      </c>
      <c r="G36" s="119" t="s">
        <v>367</v>
      </c>
      <c r="H36" s="119"/>
      <c r="I36" s="118" t="s">
        <v>129</v>
      </c>
      <c r="J36" s="5" t="s">
        <v>110</v>
      </c>
      <c r="K36" s="5">
        <v>1</v>
      </c>
      <c r="L36" s="5" t="s">
        <v>110</v>
      </c>
      <c r="M36" s="5">
        <v>0</v>
      </c>
      <c r="N36" s="7" t="s">
        <v>115</v>
      </c>
      <c r="O36" s="7">
        <v>1</v>
      </c>
      <c r="P36" s="5" t="s">
        <v>111</v>
      </c>
      <c r="Q36" s="5">
        <v>1</v>
      </c>
      <c r="R36" s="5" t="s">
        <v>112</v>
      </c>
      <c r="S36" s="5">
        <v>4</v>
      </c>
      <c r="T36" s="5" t="s">
        <v>368</v>
      </c>
      <c r="U36" s="5" t="s">
        <v>254</v>
      </c>
      <c r="V36" s="5"/>
      <c r="W36" s="175">
        <v>45705</v>
      </c>
      <c r="X36" s="175">
        <v>45708</v>
      </c>
      <c r="Y36" s="5" t="s">
        <v>115</v>
      </c>
      <c r="Z36" s="3" t="s">
        <v>116</v>
      </c>
      <c r="AA36" s="3" t="s">
        <v>369</v>
      </c>
      <c r="AB36" s="3" t="s">
        <v>118</v>
      </c>
      <c r="AC36" s="3" t="s">
        <v>370</v>
      </c>
      <c r="AD36" s="42"/>
      <c r="AE36" s="42"/>
      <c r="AF36" s="38">
        <f t="shared" si="0"/>
        <v>80</v>
      </c>
      <c r="AG36" s="39">
        <v>80</v>
      </c>
      <c r="AH36" s="39"/>
      <c r="AI36" s="39">
        <v>80</v>
      </c>
      <c r="AJ36" s="39"/>
      <c r="AK36" s="39">
        <v>80</v>
      </c>
      <c r="AL36" s="39"/>
      <c r="AM36" s="39">
        <v>80</v>
      </c>
      <c r="AN36" s="39"/>
      <c r="AO36" s="63">
        <v>5.8</v>
      </c>
      <c r="AP36" s="58">
        <v>1600</v>
      </c>
      <c r="AQ36" s="58">
        <v>310</v>
      </c>
      <c r="AR36" s="58">
        <f>PAI2025Planejamento[[#This Row],[DIÁRIA SOLICITADA]]</f>
        <v>310</v>
      </c>
      <c r="AS36" s="30">
        <v>12586</v>
      </c>
      <c r="AT36" s="30">
        <v>9280</v>
      </c>
      <c r="AU36" s="30">
        <v>21866</v>
      </c>
      <c r="AV36" s="197">
        <v>0</v>
      </c>
      <c r="AW36" s="197">
        <v>0</v>
      </c>
      <c r="AX36" s="197">
        <v>0</v>
      </c>
      <c r="AY36" s="202"/>
      <c r="AZ36" s="202"/>
      <c r="BA36" s="202">
        <v>0</v>
      </c>
      <c r="BB36" s="5" t="s">
        <v>371</v>
      </c>
      <c r="BC36" s="189"/>
      <c r="BD36" s="189">
        <v>3</v>
      </c>
      <c r="BE36" s="30"/>
      <c r="BF36" s="186"/>
      <c r="BG36" s="183"/>
      <c r="BH36" s="183"/>
    </row>
    <row r="37" spans="1:60" ht="30" hidden="1" customHeight="1">
      <c r="A37" s="149" t="s">
        <v>122</v>
      </c>
      <c r="B37" s="153" t="s">
        <v>364</v>
      </c>
      <c r="C37" s="150" t="s">
        <v>365</v>
      </c>
      <c r="D37" s="151" t="s">
        <v>366</v>
      </c>
      <c r="E37" s="151" t="s">
        <v>126</v>
      </c>
      <c r="F37" s="152" t="s">
        <v>152</v>
      </c>
      <c r="G37" s="153" t="s">
        <v>367</v>
      </c>
      <c r="H37" s="153"/>
      <c r="I37" s="118" t="s">
        <v>129</v>
      </c>
      <c r="J37" s="149" t="s">
        <v>110</v>
      </c>
      <c r="K37" s="149">
        <v>1</v>
      </c>
      <c r="L37" s="149" t="s">
        <v>110</v>
      </c>
      <c r="M37" s="149">
        <v>0</v>
      </c>
      <c r="N37" s="207" t="s">
        <v>115</v>
      </c>
      <c r="O37" s="207">
        <v>1</v>
      </c>
      <c r="P37" s="149" t="s">
        <v>111</v>
      </c>
      <c r="Q37" s="149">
        <v>1</v>
      </c>
      <c r="R37" s="149" t="s">
        <v>112</v>
      </c>
      <c r="S37" s="149">
        <v>4</v>
      </c>
      <c r="T37" s="149" t="s">
        <v>368</v>
      </c>
      <c r="U37" s="149" t="s">
        <v>254</v>
      </c>
      <c r="V37" s="149"/>
      <c r="W37" s="176">
        <v>45705</v>
      </c>
      <c r="X37" s="176">
        <v>45708</v>
      </c>
      <c r="Y37" s="149" t="s">
        <v>115</v>
      </c>
      <c r="Z37" s="3" t="s">
        <v>116</v>
      </c>
      <c r="AA37" s="154" t="s">
        <v>369</v>
      </c>
      <c r="AB37" s="3" t="s">
        <v>118</v>
      </c>
      <c r="AC37" s="3" t="s">
        <v>370</v>
      </c>
      <c r="AD37" s="156"/>
      <c r="AE37" s="156"/>
      <c r="AF37" s="157">
        <f t="shared" si="0"/>
        <v>80</v>
      </c>
      <c r="AG37" s="155">
        <v>80</v>
      </c>
      <c r="AH37" s="155"/>
      <c r="AI37" s="155">
        <v>80</v>
      </c>
      <c r="AJ37" s="155"/>
      <c r="AK37" s="155">
        <v>80</v>
      </c>
      <c r="AL37" s="155"/>
      <c r="AM37" s="155">
        <v>80</v>
      </c>
      <c r="AN37" s="155"/>
      <c r="AO37" s="63">
        <v>5.8</v>
      </c>
      <c r="AP37" s="58">
        <v>1600</v>
      </c>
      <c r="AQ37" s="58">
        <v>310</v>
      </c>
      <c r="AR37" s="58">
        <f>PAI2025Planejamento[[#This Row],[DIÁRIA SOLICITADA]]</f>
        <v>310</v>
      </c>
      <c r="AS37" s="30">
        <v>12586</v>
      </c>
      <c r="AT37" s="30">
        <v>9280</v>
      </c>
      <c r="AU37" s="30">
        <v>21866</v>
      </c>
      <c r="AV37" s="200">
        <v>0</v>
      </c>
      <c r="AW37" s="200">
        <v>0</v>
      </c>
      <c r="AX37" s="200">
        <v>0</v>
      </c>
      <c r="AY37" s="204"/>
      <c r="AZ37" s="204"/>
      <c r="BA37" s="204">
        <v>0</v>
      </c>
      <c r="BB37" s="149" t="s">
        <v>372</v>
      </c>
      <c r="BC37" s="194"/>
      <c r="BD37" s="194">
        <v>3</v>
      </c>
      <c r="BE37" s="30"/>
      <c r="BF37" s="186"/>
      <c r="BG37" s="183"/>
      <c r="BH37" s="183"/>
    </row>
    <row r="38" spans="1:60" ht="30" hidden="1" customHeight="1">
      <c r="A38" s="149" t="s">
        <v>122</v>
      </c>
      <c r="B38" s="153" t="s">
        <v>364</v>
      </c>
      <c r="C38" s="150" t="s">
        <v>365</v>
      </c>
      <c r="D38" s="151" t="s">
        <v>366</v>
      </c>
      <c r="E38" s="151" t="s">
        <v>126</v>
      </c>
      <c r="F38" s="152" t="s">
        <v>152</v>
      </c>
      <c r="G38" s="153" t="s">
        <v>367</v>
      </c>
      <c r="H38" s="153"/>
      <c r="I38" s="118" t="s">
        <v>129</v>
      </c>
      <c r="J38" s="149" t="s">
        <v>110</v>
      </c>
      <c r="K38" s="149">
        <v>1</v>
      </c>
      <c r="L38" s="149" t="s">
        <v>110</v>
      </c>
      <c r="M38" s="149">
        <v>0</v>
      </c>
      <c r="N38" s="207" t="s">
        <v>115</v>
      </c>
      <c r="O38" s="207">
        <v>1</v>
      </c>
      <c r="P38" s="149" t="s">
        <v>111</v>
      </c>
      <c r="Q38" s="149">
        <v>1</v>
      </c>
      <c r="R38" s="149" t="s">
        <v>112</v>
      </c>
      <c r="S38" s="149">
        <v>4</v>
      </c>
      <c r="T38" s="149" t="s">
        <v>368</v>
      </c>
      <c r="U38" s="149" t="s">
        <v>254</v>
      </c>
      <c r="V38" s="149"/>
      <c r="W38" s="176">
        <v>45705</v>
      </c>
      <c r="X38" s="176">
        <v>45708</v>
      </c>
      <c r="Y38" s="149" t="s">
        <v>115</v>
      </c>
      <c r="Z38" s="3" t="s">
        <v>116</v>
      </c>
      <c r="AA38" s="154" t="s">
        <v>369</v>
      </c>
      <c r="AB38" s="3" t="s">
        <v>118</v>
      </c>
      <c r="AC38" s="3" t="s">
        <v>370</v>
      </c>
      <c r="AD38" s="156"/>
      <c r="AE38" s="156"/>
      <c r="AF38" s="157">
        <f t="shared" si="0"/>
        <v>80</v>
      </c>
      <c r="AG38" s="155">
        <v>80</v>
      </c>
      <c r="AH38" s="155"/>
      <c r="AI38" s="155">
        <v>80</v>
      </c>
      <c r="AJ38" s="155"/>
      <c r="AK38" s="155">
        <v>80</v>
      </c>
      <c r="AL38" s="155"/>
      <c r="AM38" s="155">
        <v>80</v>
      </c>
      <c r="AN38" s="155"/>
      <c r="AO38" s="63">
        <v>5.8</v>
      </c>
      <c r="AP38" s="58">
        <v>1600</v>
      </c>
      <c r="AQ38" s="58">
        <v>310</v>
      </c>
      <c r="AR38" s="58">
        <f>PAI2025Planejamento[[#This Row],[DIÁRIA SOLICITADA]]</f>
        <v>310</v>
      </c>
      <c r="AS38" s="30">
        <v>12586</v>
      </c>
      <c r="AT38" s="30">
        <v>9280</v>
      </c>
      <c r="AU38" s="30">
        <v>21866</v>
      </c>
      <c r="AV38" s="200">
        <v>0</v>
      </c>
      <c r="AW38" s="200">
        <v>0</v>
      </c>
      <c r="AX38" s="200">
        <v>0</v>
      </c>
      <c r="AY38" s="204"/>
      <c r="AZ38" s="204"/>
      <c r="BA38" s="204">
        <v>0</v>
      </c>
      <c r="BB38" s="149" t="s">
        <v>373</v>
      </c>
      <c r="BC38" s="194"/>
      <c r="BD38" s="194">
        <v>3</v>
      </c>
      <c r="BE38" s="30"/>
      <c r="BF38" s="186"/>
      <c r="BG38" s="183"/>
      <c r="BH38" s="183"/>
    </row>
    <row r="39" spans="1:60" ht="30" hidden="1" customHeight="1">
      <c r="A39" s="5" t="s">
        <v>122</v>
      </c>
      <c r="B39" s="116" t="s">
        <v>374</v>
      </c>
      <c r="C39" s="116" t="s">
        <v>375</v>
      </c>
      <c r="D39" s="117" t="s">
        <v>376</v>
      </c>
      <c r="E39" s="117" t="s">
        <v>126</v>
      </c>
      <c r="F39" s="118" t="s">
        <v>152</v>
      </c>
      <c r="G39" s="119" t="s">
        <v>377</v>
      </c>
      <c r="H39" s="119"/>
      <c r="I39" s="117" t="s">
        <v>129</v>
      </c>
      <c r="J39" s="5" t="s">
        <v>110</v>
      </c>
      <c r="K39" s="5">
        <v>0</v>
      </c>
      <c r="L39" s="5" t="s">
        <v>110</v>
      </c>
      <c r="M39" s="5">
        <v>1</v>
      </c>
      <c r="N39" s="7" t="s">
        <v>115</v>
      </c>
      <c r="O39" s="7">
        <v>1</v>
      </c>
      <c r="P39" s="5" t="s">
        <v>111</v>
      </c>
      <c r="Q39" s="5">
        <v>1</v>
      </c>
      <c r="R39" s="5" t="s">
        <v>112</v>
      </c>
      <c r="S39" s="5">
        <v>4</v>
      </c>
      <c r="T39" s="5" t="s">
        <v>368</v>
      </c>
      <c r="U39" s="5" t="s">
        <v>254</v>
      </c>
      <c r="V39" s="5"/>
      <c r="W39" s="175">
        <v>45705</v>
      </c>
      <c r="X39" s="175">
        <v>45708</v>
      </c>
      <c r="Y39" s="5" t="s">
        <v>115</v>
      </c>
      <c r="Z39" s="3" t="s">
        <v>116</v>
      </c>
      <c r="AA39" s="3" t="s">
        <v>369</v>
      </c>
      <c r="AB39" s="3" t="s">
        <v>118</v>
      </c>
      <c r="AC39" s="3" t="s">
        <v>370</v>
      </c>
      <c r="AD39" s="3"/>
      <c r="AE39" s="3"/>
      <c r="AF39" s="12">
        <f t="shared" si="0"/>
        <v>80</v>
      </c>
      <c r="AG39" s="39">
        <v>80</v>
      </c>
      <c r="AH39" s="39"/>
      <c r="AI39" s="39">
        <v>80</v>
      </c>
      <c r="AJ39" s="39"/>
      <c r="AK39" s="39">
        <v>80</v>
      </c>
      <c r="AL39" s="39"/>
      <c r="AM39" s="39">
        <v>80</v>
      </c>
      <c r="AN39" s="39"/>
      <c r="AO39" s="63">
        <v>5.8</v>
      </c>
      <c r="AP39" s="58">
        <v>1600</v>
      </c>
      <c r="AQ39" s="58">
        <v>310</v>
      </c>
      <c r="AR39" s="58">
        <f>PAI2025Planejamento[[#This Row],[DIÁRIA SOLICITADA]]</f>
        <v>310</v>
      </c>
      <c r="AS39" s="30">
        <v>0</v>
      </c>
      <c r="AT39" s="30">
        <v>0</v>
      </c>
      <c r="AU39" s="30">
        <v>0</v>
      </c>
      <c r="AV39" s="197">
        <v>0</v>
      </c>
      <c r="AW39" s="197">
        <v>0</v>
      </c>
      <c r="AX39" s="197">
        <v>0</v>
      </c>
      <c r="AY39" s="202">
        <v>2613.1999999999998</v>
      </c>
      <c r="AZ39" s="202">
        <v>512.52</v>
      </c>
      <c r="BA39" s="202">
        <f>2613.2+512.52</f>
        <v>3125.72</v>
      </c>
      <c r="BB39" s="5" t="s">
        <v>372</v>
      </c>
      <c r="BC39" s="189"/>
      <c r="BD39" s="189">
        <v>3</v>
      </c>
      <c r="BE39" s="30"/>
      <c r="BF39" s="186"/>
      <c r="BG39" s="183"/>
      <c r="BH39" s="183"/>
    </row>
    <row r="40" spans="1:60" ht="30" hidden="1" customHeight="1">
      <c r="A40" s="149" t="s">
        <v>122</v>
      </c>
      <c r="B40" s="150" t="s">
        <v>374</v>
      </c>
      <c r="C40" s="150" t="s">
        <v>375</v>
      </c>
      <c r="D40" s="151" t="s">
        <v>376</v>
      </c>
      <c r="E40" s="151" t="s">
        <v>126</v>
      </c>
      <c r="F40" s="152" t="s">
        <v>152</v>
      </c>
      <c r="G40" s="153" t="s">
        <v>377</v>
      </c>
      <c r="H40" s="153"/>
      <c r="I40" s="151" t="s">
        <v>129</v>
      </c>
      <c r="J40" s="149" t="s">
        <v>110</v>
      </c>
      <c r="K40" s="149">
        <v>0</v>
      </c>
      <c r="L40" s="149" t="s">
        <v>110</v>
      </c>
      <c r="M40" s="149">
        <v>1</v>
      </c>
      <c r="N40" s="207" t="s">
        <v>115</v>
      </c>
      <c r="O40" s="207">
        <v>1</v>
      </c>
      <c r="P40" s="149" t="s">
        <v>111</v>
      </c>
      <c r="Q40" s="149">
        <v>1</v>
      </c>
      <c r="R40" s="149" t="s">
        <v>112</v>
      </c>
      <c r="S40" s="149">
        <v>4</v>
      </c>
      <c r="T40" s="149" t="s">
        <v>368</v>
      </c>
      <c r="U40" s="149" t="s">
        <v>254</v>
      </c>
      <c r="V40" s="149"/>
      <c r="W40" s="176">
        <v>45705</v>
      </c>
      <c r="X40" s="176">
        <v>45708</v>
      </c>
      <c r="Y40" s="149" t="s">
        <v>115</v>
      </c>
      <c r="Z40" s="3" t="s">
        <v>116</v>
      </c>
      <c r="AA40" s="154" t="s">
        <v>369</v>
      </c>
      <c r="AB40" s="3" t="s">
        <v>118</v>
      </c>
      <c r="AC40" s="3" t="s">
        <v>370</v>
      </c>
      <c r="AD40" s="154"/>
      <c r="AE40" s="154"/>
      <c r="AF40" s="12">
        <f t="shared" si="0"/>
        <v>80</v>
      </c>
      <c r="AG40" s="155">
        <v>80</v>
      </c>
      <c r="AH40" s="155"/>
      <c r="AI40" s="155">
        <v>80</v>
      </c>
      <c r="AJ40" s="155"/>
      <c r="AK40" s="155">
        <v>80</v>
      </c>
      <c r="AL40" s="155"/>
      <c r="AM40" s="155">
        <v>80</v>
      </c>
      <c r="AN40" s="155"/>
      <c r="AO40" s="63">
        <v>5.8</v>
      </c>
      <c r="AP40" s="58">
        <v>1600</v>
      </c>
      <c r="AQ40" s="58">
        <v>310</v>
      </c>
      <c r="AR40" s="58">
        <f>PAI2025Planejamento[[#This Row],[DIÁRIA SOLICITADA]]</f>
        <v>310</v>
      </c>
      <c r="AS40" s="30">
        <v>0</v>
      </c>
      <c r="AT40" s="30">
        <v>0</v>
      </c>
      <c r="AU40" s="30">
        <v>0</v>
      </c>
      <c r="AV40" s="200">
        <v>0</v>
      </c>
      <c r="AW40" s="200">
        <v>0</v>
      </c>
      <c r="AX40" s="200">
        <v>0</v>
      </c>
      <c r="AY40" s="204">
        <v>1825.7</v>
      </c>
      <c r="AZ40" s="204">
        <v>512.52</v>
      </c>
      <c r="BA40" s="204">
        <v>2338.2199999999998</v>
      </c>
      <c r="BB40" s="149" t="s">
        <v>378</v>
      </c>
      <c r="BC40" s="194"/>
      <c r="BD40" s="194">
        <v>3</v>
      </c>
      <c r="BE40" s="30"/>
      <c r="BF40" s="186"/>
      <c r="BG40" s="183"/>
      <c r="BH40" s="183"/>
    </row>
    <row r="41" spans="1:60" ht="30" hidden="1" customHeight="1">
      <c r="A41" s="149" t="s">
        <v>122</v>
      </c>
      <c r="B41" s="150" t="s">
        <v>374</v>
      </c>
      <c r="C41" s="150" t="s">
        <v>375</v>
      </c>
      <c r="D41" s="151" t="s">
        <v>376</v>
      </c>
      <c r="E41" s="151" t="s">
        <v>126</v>
      </c>
      <c r="F41" s="152" t="s">
        <v>152</v>
      </c>
      <c r="G41" s="153" t="s">
        <v>377</v>
      </c>
      <c r="H41" s="153"/>
      <c r="I41" s="151" t="s">
        <v>129</v>
      </c>
      <c r="J41" s="149" t="s">
        <v>110</v>
      </c>
      <c r="K41" s="149">
        <v>0</v>
      </c>
      <c r="L41" s="149" t="s">
        <v>110</v>
      </c>
      <c r="M41" s="149">
        <v>0</v>
      </c>
      <c r="N41" s="207" t="s">
        <v>115</v>
      </c>
      <c r="O41" s="207">
        <v>1</v>
      </c>
      <c r="P41" s="149" t="s">
        <v>111</v>
      </c>
      <c r="Q41" s="149">
        <v>1</v>
      </c>
      <c r="R41" s="149" t="s">
        <v>112</v>
      </c>
      <c r="S41" s="149">
        <v>4</v>
      </c>
      <c r="T41" s="149" t="s">
        <v>368</v>
      </c>
      <c r="U41" s="149" t="s">
        <v>254</v>
      </c>
      <c r="V41" s="149"/>
      <c r="W41" s="176">
        <v>45705</v>
      </c>
      <c r="X41" s="176">
        <v>45708</v>
      </c>
      <c r="Y41" s="149" t="s">
        <v>115</v>
      </c>
      <c r="Z41" s="3" t="s">
        <v>116</v>
      </c>
      <c r="AA41" s="154" t="s">
        <v>369</v>
      </c>
      <c r="AB41" s="3" t="s">
        <v>118</v>
      </c>
      <c r="AC41" s="3" t="s">
        <v>370</v>
      </c>
      <c r="AD41" s="154"/>
      <c r="AE41" s="154"/>
      <c r="AF41" s="12">
        <f t="shared" si="0"/>
        <v>80</v>
      </c>
      <c r="AG41" s="155">
        <v>80</v>
      </c>
      <c r="AH41" s="155"/>
      <c r="AI41" s="155">
        <v>80</v>
      </c>
      <c r="AJ41" s="155"/>
      <c r="AK41" s="155">
        <v>80</v>
      </c>
      <c r="AL41" s="155"/>
      <c r="AM41" s="155">
        <v>80</v>
      </c>
      <c r="AN41" s="155"/>
      <c r="AO41" s="63">
        <v>5.8</v>
      </c>
      <c r="AP41" s="58">
        <v>1600</v>
      </c>
      <c r="AQ41" s="58">
        <v>310</v>
      </c>
      <c r="AR41" s="58">
        <f>PAI2025Planejamento[[#This Row],[DIÁRIA SOLICITADA]]</f>
        <v>310</v>
      </c>
      <c r="AS41" s="30">
        <v>0</v>
      </c>
      <c r="AT41" s="30">
        <v>0</v>
      </c>
      <c r="AU41" s="30">
        <v>0</v>
      </c>
      <c r="AV41" s="200">
        <v>0</v>
      </c>
      <c r="AW41" s="200">
        <v>0</v>
      </c>
      <c r="AX41" s="200">
        <v>0</v>
      </c>
      <c r="AY41" s="204">
        <v>1825.7</v>
      </c>
      <c r="AZ41" s="204"/>
      <c r="BA41" s="204">
        <v>1825.7</v>
      </c>
      <c r="BB41" s="149" t="s">
        <v>373</v>
      </c>
      <c r="BC41" s="194"/>
      <c r="BD41" s="194">
        <v>3</v>
      </c>
      <c r="BE41" s="30"/>
      <c r="BF41" s="186"/>
      <c r="BG41" s="183"/>
      <c r="BH41" s="183"/>
    </row>
    <row r="42" spans="1:60" ht="30" hidden="1" customHeight="1">
      <c r="A42" s="149" t="s">
        <v>122</v>
      </c>
      <c r="B42" s="150" t="s">
        <v>374</v>
      </c>
      <c r="C42" s="150" t="s">
        <v>375</v>
      </c>
      <c r="D42" s="151" t="s">
        <v>376</v>
      </c>
      <c r="E42" s="151" t="s">
        <v>126</v>
      </c>
      <c r="F42" s="152" t="s">
        <v>152</v>
      </c>
      <c r="G42" s="153" t="s">
        <v>377</v>
      </c>
      <c r="H42" s="119"/>
      <c r="I42" s="151" t="s">
        <v>129</v>
      </c>
      <c r="J42" s="149"/>
      <c r="K42" s="5"/>
      <c r="L42" s="149" t="s">
        <v>110</v>
      </c>
      <c r="M42" s="41">
        <v>0</v>
      </c>
      <c r="N42" s="39" t="s">
        <v>115</v>
      </c>
      <c r="O42" s="39">
        <v>1</v>
      </c>
      <c r="P42" s="149" t="s">
        <v>111</v>
      </c>
      <c r="Q42" s="41">
        <v>1</v>
      </c>
      <c r="R42" s="149" t="s">
        <v>112</v>
      </c>
      <c r="S42" s="149">
        <v>4</v>
      </c>
      <c r="T42" s="149" t="s">
        <v>368</v>
      </c>
      <c r="U42" s="149" t="s">
        <v>254</v>
      </c>
      <c r="V42" s="5"/>
      <c r="W42" s="176">
        <v>45705</v>
      </c>
      <c r="X42" s="176">
        <v>45708</v>
      </c>
      <c r="Y42" s="149" t="s">
        <v>115</v>
      </c>
      <c r="Z42" s="3" t="s">
        <v>116</v>
      </c>
      <c r="AA42" s="154" t="s">
        <v>369</v>
      </c>
      <c r="AB42" s="3" t="s">
        <v>118</v>
      </c>
      <c r="AC42" s="3" t="s">
        <v>370</v>
      </c>
      <c r="AD42" s="154"/>
      <c r="AE42" s="154"/>
      <c r="AF42" s="12">
        <f t="shared" si="0"/>
        <v>80</v>
      </c>
      <c r="AG42" s="155">
        <v>80</v>
      </c>
      <c r="AH42" s="7"/>
      <c r="AI42" s="155">
        <v>80</v>
      </c>
      <c r="AJ42" s="7"/>
      <c r="AK42" s="155">
        <v>80</v>
      </c>
      <c r="AL42" s="7"/>
      <c r="AM42" s="155">
        <v>80</v>
      </c>
      <c r="AN42" s="7"/>
      <c r="AO42" s="63">
        <v>5.8</v>
      </c>
      <c r="AP42" s="58">
        <v>1600</v>
      </c>
      <c r="AQ42" s="58">
        <v>310</v>
      </c>
      <c r="AR42" s="58">
        <f>PAI2025Planejamento[[#This Row],[DIÁRIA SOLICITADA]]</f>
        <v>310</v>
      </c>
      <c r="AS42" s="30">
        <v>0</v>
      </c>
      <c r="AT42" s="30">
        <v>0</v>
      </c>
      <c r="AU42" s="30">
        <v>0</v>
      </c>
      <c r="AV42" s="200">
        <v>0</v>
      </c>
      <c r="AW42" s="200">
        <v>0</v>
      </c>
      <c r="AX42" s="200">
        <v>0</v>
      </c>
      <c r="AY42" s="203">
        <v>1446.15</v>
      </c>
      <c r="AZ42" s="203">
        <v>92.95</v>
      </c>
      <c r="BA42" s="203">
        <v>1539.1</v>
      </c>
      <c r="BB42" s="189" t="s">
        <v>379</v>
      </c>
      <c r="BC42" s="191"/>
      <c r="BD42" s="193"/>
      <c r="BE42" s="30"/>
      <c r="BF42" s="186"/>
      <c r="BG42" s="183"/>
      <c r="BH42" s="183"/>
    </row>
    <row r="43" spans="1:60" ht="30" hidden="1" customHeight="1">
      <c r="A43" s="5" t="s">
        <v>122</v>
      </c>
      <c r="B43" s="116" t="s">
        <v>380</v>
      </c>
      <c r="C43" s="116" t="s">
        <v>163</v>
      </c>
      <c r="D43" s="117" t="s">
        <v>381</v>
      </c>
      <c r="E43" s="117" t="s">
        <v>165</v>
      </c>
      <c r="F43" s="118" t="s">
        <v>166</v>
      </c>
      <c r="G43" s="116" t="s">
        <v>382</v>
      </c>
      <c r="H43" s="116"/>
      <c r="I43" s="117" t="s">
        <v>109</v>
      </c>
      <c r="J43" s="5" t="s">
        <v>110</v>
      </c>
      <c r="K43" s="5">
        <v>1</v>
      </c>
      <c r="L43" s="5" t="s">
        <v>110</v>
      </c>
      <c r="M43" s="5">
        <v>1</v>
      </c>
      <c r="N43" s="39"/>
      <c r="O43" s="39"/>
      <c r="P43" s="5" t="s">
        <v>111</v>
      </c>
      <c r="Q43" s="41">
        <v>1</v>
      </c>
      <c r="R43" s="41" t="s">
        <v>112</v>
      </c>
      <c r="S43" s="5">
        <v>5</v>
      </c>
      <c r="T43" s="5" t="s">
        <v>383</v>
      </c>
      <c r="U43" s="5" t="s">
        <v>384</v>
      </c>
      <c r="V43" s="5"/>
      <c r="W43" s="175">
        <v>45706</v>
      </c>
      <c r="X43" s="175">
        <v>45709</v>
      </c>
      <c r="Y43" s="5" t="s">
        <v>115</v>
      </c>
      <c r="Z43" s="3" t="s">
        <v>116</v>
      </c>
      <c r="AA43" s="3" t="s">
        <v>385</v>
      </c>
      <c r="AB43" s="3" t="s">
        <v>118</v>
      </c>
      <c r="AC43" s="3" t="s">
        <v>386</v>
      </c>
      <c r="AD43" s="42"/>
      <c r="AE43" s="42"/>
      <c r="AF43" s="38">
        <f t="shared" si="0"/>
        <v>80</v>
      </c>
      <c r="AG43" s="39">
        <v>80</v>
      </c>
      <c r="AH43" s="39" t="s">
        <v>387</v>
      </c>
      <c r="AI43" s="39">
        <v>80</v>
      </c>
      <c r="AJ43" s="39" t="s">
        <v>172</v>
      </c>
      <c r="AK43" s="39">
        <v>80</v>
      </c>
      <c r="AL43" s="39" t="s">
        <v>388</v>
      </c>
      <c r="AM43" s="39">
        <v>80</v>
      </c>
      <c r="AN43" s="39"/>
      <c r="AO43" s="63">
        <v>5.8</v>
      </c>
      <c r="AP43" s="58">
        <v>1600</v>
      </c>
      <c r="AQ43" s="58">
        <v>420</v>
      </c>
      <c r="AR43" s="58">
        <v>330</v>
      </c>
      <c r="AS43" s="30">
        <v>19488</v>
      </c>
      <c r="AT43" s="30"/>
      <c r="AU43" s="30">
        <v>19488</v>
      </c>
      <c r="AV43" s="197">
        <v>15312</v>
      </c>
      <c r="AW43" s="197"/>
      <c r="AX43" s="197">
        <v>15312</v>
      </c>
      <c r="AY43" s="202">
        <v>14943.14</v>
      </c>
      <c r="AZ43" s="202">
        <v>8263.66</v>
      </c>
      <c r="BA43" s="202">
        <v>14943.14</v>
      </c>
      <c r="BB43" s="5" t="s">
        <v>389</v>
      </c>
      <c r="BC43" s="189" t="s">
        <v>390</v>
      </c>
      <c r="BD43" s="189">
        <v>3</v>
      </c>
      <c r="BE43" s="30"/>
      <c r="BF43" s="186"/>
      <c r="BG43" s="183"/>
      <c r="BH43" s="183"/>
    </row>
    <row r="44" spans="1:60" ht="30" hidden="1" customHeight="1">
      <c r="A44" s="5" t="s">
        <v>391</v>
      </c>
      <c r="B44" s="116" t="s">
        <v>392</v>
      </c>
      <c r="C44" s="116" t="s">
        <v>393</v>
      </c>
      <c r="D44" s="117" t="s">
        <v>394</v>
      </c>
      <c r="E44" s="117" t="s">
        <v>395</v>
      </c>
      <c r="F44" s="118" t="s">
        <v>396</v>
      </c>
      <c r="G44" s="119"/>
      <c r="H44" s="119"/>
      <c r="I44" s="117" t="s">
        <v>109</v>
      </c>
      <c r="J44" s="5" t="s">
        <v>110</v>
      </c>
      <c r="K44" s="5">
        <v>1</v>
      </c>
      <c r="L44" s="5" t="s">
        <v>110</v>
      </c>
      <c r="M44" s="5">
        <v>1</v>
      </c>
      <c r="N44" s="39"/>
      <c r="O44" s="39"/>
      <c r="P44" s="5" t="s">
        <v>111</v>
      </c>
      <c r="Q44" s="5">
        <v>1</v>
      </c>
      <c r="R44" s="41" t="s">
        <v>112</v>
      </c>
      <c r="S44" s="5">
        <v>3</v>
      </c>
      <c r="T44" s="5" t="s">
        <v>397</v>
      </c>
      <c r="U44" s="5" t="s">
        <v>398</v>
      </c>
      <c r="V44" s="5"/>
      <c r="W44" s="175">
        <v>45706</v>
      </c>
      <c r="X44" s="175">
        <v>45708</v>
      </c>
      <c r="Y44" s="41" t="s">
        <v>115</v>
      </c>
      <c r="Z44" s="3"/>
      <c r="AA44" s="2"/>
      <c r="AB44" s="3"/>
      <c r="AC44" s="3"/>
      <c r="AD44" s="51"/>
      <c r="AE44" s="51"/>
      <c r="AF44" s="38">
        <f t="shared" si="0"/>
        <v>62</v>
      </c>
      <c r="AG44" s="7">
        <v>60</v>
      </c>
      <c r="AH44" s="7" t="s">
        <v>399</v>
      </c>
      <c r="AI44" s="7">
        <v>80</v>
      </c>
      <c r="AJ44" s="7"/>
      <c r="AK44" s="7">
        <v>40</v>
      </c>
      <c r="AL44" s="7"/>
      <c r="AM44" s="7">
        <v>60</v>
      </c>
      <c r="AN44" s="7"/>
      <c r="AO44" s="63">
        <v>5.8</v>
      </c>
      <c r="AP44" s="58">
        <v>1600</v>
      </c>
      <c r="AQ44" s="58">
        <v>300</v>
      </c>
      <c r="AR44" s="58">
        <v>300</v>
      </c>
      <c r="AS44" s="30">
        <v>10440</v>
      </c>
      <c r="AT44" s="30"/>
      <c r="AU44" s="30">
        <v>10440</v>
      </c>
      <c r="AV44" s="197">
        <v>10440</v>
      </c>
      <c r="AW44" s="197"/>
      <c r="AX44" s="197">
        <v>10440</v>
      </c>
      <c r="AY44" s="202">
        <v>11859.62</v>
      </c>
      <c r="AZ44" s="202">
        <v>26508.45</v>
      </c>
      <c r="BA44" s="202">
        <v>11859.62</v>
      </c>
      <c r="BB44" s="5" t="s">
        <v>400</v>
      </c>
      <c r="BC44" s="189" t="s">
        <v>401</v>
      </c>
      <c r="BD44" s="190">
        <v>3</v>
      </c>
      <c r="BE44" s="30"/>
      <c r="BF44" s="186"/>
      <c r="BG44" s="183"/>
      <c r="BH44" s="183"/>
    </row>
    <row r="45" spans="1:60" ht="30" hidden="1" customHeight="1">
      <c r="A45" s="5" t="s">
        <v>391</v>
      </c>
      <c r="B45" s="116" t="s">
        <v>392</v>
      </c>
      <c r="C45" s="116" t="s">
        <v>393</v>
      </c>
      <c r="D45" s="117" t="s">
        <v>394</v>
      </c>
      <c r="E45" s="117" t="s">
        <v>402</v>
      </c>
      <c r="F45" s="118" t="s">
        <v>396</v>
      </c>
      <c r="G45" s="119"/>
      <c r="H45" s="119"/>
      <c r="I45" s="117" t="s">
        <v>109</v>
      </c>
      <c r="J45" s="5" t="s">
        <v>110</v>
      </c>
      <c r="K45" s="5">
        <v>1</v>
      </c>
      <c r="L45" s="5" t="s">
        <v>110</v>
      </c>
      <c r="M45" s="5">
        <v>1</v>
      </c>
      <c r="N45" s="7"/>
      <c r="O45" s="7"/>
      <c r="P45" s="5" t="s">
        <v>111</v>
      </c>
      <c r="Q45" s="5">
        <v>1</v>
      </c>
      <c r="R45" s="5" t="s">
        <v>112</v>
      </c>
      <c r="S45" s="5">
        <v>3</v>
      </c>
      <c r="T45" s="5" t="s">
        <v>397</v>
      </c>
      <c r="U45" s="5" t="s">
        <v>398</v>
      </c>
      <c r="V45" s="5"/>
      <c r="W45" s="175">
        <v>45706</v>
      </c>
      <c r="X45" s="175">
        <v>45708</v>
      </c>
      <c r="Y45" s="41" t="s">
        <v>115</v>
      </c>
      <c r="Z45" s="3"/>
      <c r="AA45" s="2"/>
      <c r="AB45" s="3"/>
      <c r="AC45" s="3"/>
      <c r="AD45" s="50"/>
      <c r="AE45" s="50"/>
      <c r="AF45" s="12">
        <f t="shared" si="0"/>
        <v>62</v>
      </c>
      <c r="AG45" s="7">
        <v>60</v>
      </c>
      <c r="AH45" s="7" t="s">
        <v>399</v>
      </c>
      <c r="AI45" s="7">
        <v>80</v>
      </c>
      <c r="AJ45" s="7"/>
      <c r="AK45" s="7">
        <v>40</v>
      </c>
      <c r="AL45" s="7"/>
      <c r="AM45" s="7">
        <v>60</v>
      </c>
      <c r="AN45" s="7"/>
      <c r="AO45" s="63">
        <v>5.8</v>
      </c>
      <c r="AP45" s="58">
        <v>1600</v>
      </c>
      <c r="AQ45" s="58">
        <v>280</v>
      </c>
      <c r="AR45" s="58">
        <f>PAI2025Planejamento[[#This Row],[DIÁRIA SOLICITADA]]</f>
        <v>280</v>
      </c>
      <c r="AS45" s="30">
        <v>9744</v>
      </c>
      <c r="AT45" s="30"/>
      <c r="AU45" s="30">
        <v>9744</v>
      </c>
      <c r="AV45" s="197">
        <v>9744</v>
      </c>
      <c r="AW45" s="197"/>
      <c r="AX45" s="197">
        <v>9744</v>
      </c>
      <c r="AY45" s="202">
        <v>8003.3</v>
      </c>
      <c r="AZ45" s="202">
        <v>4671.99</v>
      </c>
      <c r="BA45" s="202">
        <v>8003.3</v>
      </c>
      <c r="BB45" s="189" t="s">
        <v>403</v>
      </c>
      <c r="BC45" s="191" t="s">
        <v>401</v>
      </c>
      <c r="BD45" s="192">
        <v>3</v>
      </c>
      <c r="BE45" s="30"/>
      <c r="BF45" s="186"/>
      <c r="BG45" s="183"/>
      <c r="BH45" s="183"/>
    </row>
    <row r="46" spans="1:60" ht="30" customHeight="1">
      <c r="A46" s="5" t="s">
        <v>248</v>
      </c>
      <c r="B46" s="116" t="s">
        <v>249</v>
      </c>
      <c r="C46" s="116" t="s">
        <v>250</v>
      </c>
      <c r="D46" s="117" t="s">
        <v>404</v>
      </c>
      <c r="E46" s="117" t="s">
        <v>195</v>
      </c>
      <c r="F46" s="118" t="s">
        <v>293</v>
      </c>
      <c r="G46" s="119" t="s">
        <v>405</v>
      </c>
      <c r="H46" s="119"/>
      <c r="I46" s="117" t="s">
        <v>129</v>
      </c>
      <c r="J46" s="5" t="s">
        <v>110</v>
      </c>
      <c r="K46" s="5">
        <v>0</v>
      </c>
      <c r="L46" s="5" t="s">
        <v>110</v>
      </c>
      <c r="M46" s="5">
        <v>1</v>
      </c>
      <c r="N46" s="7" t="s">
        <v>115</v>
      </c>
      <c r="O46" s="7">
        <v>1</v>
      </c>
      <c r="P46" s="5" t="s">
        <v>111</v>
      </c>
      <c r="Q46" s="5">
        <v>1</v>
      </c>
      <c r="R46" s="5" t="s">
        <v>112</v>
      </c>
      <c r="S46" s="5">
        <v>3</v>
      </c>
      <c r="T46" s="5" t="s">
        <v>253</v>
      </c>
      <c r="U46" s="5" t="s">
        <v>254</v>
      </c>
      <c r="V46" s="5" t="s">
        <v>253</v>
      </c>
      <c r="W46" s="175">
        <v>45712</v>
      </c>
      <c r="X46" s="175">
        <v>45714</v>
      </c>
      <c r="Y46" s="41" t="s">
        <v>115</v>
      </c>
      <c r="Z46" s="3" t="s">
        <v>141</v>
      </c>
      <c r="AA46" s="2"/>
      <c r="AB46" s="3" t="s">
        <v>118</v>
      </c>
      <c r="AC46" s="3"/>
      <c r="AD46" s="50"/>
      <c r="AE46" s="50"/>
      <c r="AF46" s="12">
        <f t="shared" si="0"/>
        <v>82</v>
      </c>
      <c r="AG46" s="7">
        <v>80</v>
      </c>
      <c r="AH46" s="7"/>
      <c r="AI46" s="7">
        <v>80</v>
      </c>
      <c r="AJ46" s="7"/>
      <c r="AK46" s="7">
        <v>80</v>
      </c>
      <c r="AL46" s="7"/>
      <c r="AM46" s="7">
        <v>100</v>
      </c>
      <c r="AN46" s="7" t="s">
        <v>255</v>
      </c>
      <c r="AO46" s="63">
        <v>5.8</v>
      </c>
      <c r="AP46" s="58">
        <v>800</v>
      </c>
      <c r="AQ46" s="58">
        <v>425</v>
      </c>
      <c r="AR46" s="58">
        <v>425</v>
      </c>
      <c r="AS46" s="30"/>
      <c r="AT46" s="30"/>
      <c r="AU46" s="30">
        <v>0</v>
      </c>
      <c r="AV46" s="197">
        <v>7395</v>
      </c>
      <c r="AW46" s="197">
        <v>4640</v>
      </c>
      <c r="AX46" s="197">
        <v>12035</v>
      </c>
      <c r="AY46" s="202">
        <v>4000</v>
      </c>
      <c r="AZ46" s="202">
        <v>6917.47</v>
      </c>
      <c r="BA46" s="202">
        <f>4000+6917.47</f>
        <v>10917.470000000001</v>
      </c>
      <c r="BB46" s="189" t="s">
        <v>406</v>
      </c>
      <c r="BC46" s="191" t="s">
        <v>407</v>
      </c>
      <c r="BD46" s="192"/>
      <c r="BE46" s="30"/>
      <c r="BF46" s="186"/>
      <c r="BG46" s="183"/>
      <c r="BH46" s="183"/>
    </row>
    <row r="47" spans="1:60" ht="30" customHeight="1">
      <c r="A47" s="5" t="s">
        <v>248</v>
      </c>
      <c r="B47" s="116" t="s">
        <v>249</v>
      </c>
      <c r="C47" s="116" t="s">
        <v>250</v>
      </c>
      <c r="D47" s="117" t="s">
        <v>404</v>
      </c>
      <c r="E47" s="117" t="s">
        <v>195</v>
      </c>
      <c r="F47" s="118" t="s">
        <v>293</v>
      </c>
      <c r="G47" s="119" t="s">
        <v>405</v>
      </c>
      <c r="H47" s="119"/>
      <c r="I47" s="117" t="s">
        <v>129</v>
      </c>
      <c r="J47" s="5" t="s">
        <v>110</v>
      </c>
      <c r="K47" s="5">
        <v>0</v>
      </c>
      <c r="L47" s="5" t="s">
        <v>110</v>
      </c>
      <c r="M47" s="5">
        <v>1</v>
      </c>
      <c r="N47" s="7" t="s">
        <v>115</v>
      </c>
      <c r="O47" s="7">
        <v>1</v>
      </c>
      <c r="P47" s="5" t="s">
        <v>111</v>
      </c>
      <c r="Q47" s="5">
        <v>1</v>
      </c>
      <c r="R47" s="5" t="s">
        <v>112</v>
      </c>
      <c r="S47" s="5">
        <v>3</v>
      </c>
      <c r="T47" s="5" t="s">
        <v>253</v>
      </c>
      <c r="U47" s="5" t="s">
        <v>254</v>
      </c>
      <c r="V47" s="5" t="s">
        <v>253</v>
      </c>
      <c r="W47" s="175">
        <v>45712</v>
      </c>
      <c r="X47" s="175">
        <v>45714</v>
      </c>
      <c r="Y47" s="41" t="s">
        <v>115</v>
      </c>
      <c r="Z47" s="3" t="s">
        <v>141</v>
      </c>
      <c r="AA47" s="2"/>
      <c r="AB47" s="3" t="s">
        <v>118</v>
      </c>
      <c r="AC47" s="3"/>
      <c r="AD47" s="50"/>
      <c r="AE47" s="50"/>
      <c r="AF47" s="12">
        <f t="shared" si="0"/>
        <v>82</v>
      </c>
      <c r="AG47" s="7">
        <v>80</v>
      </c>
      <c r="AH47" s="7"/>
      <c r="AI47" s="7">
        <v>80</v>
      </c>
      <c r="AJ47" s="7"/>
      <c r="AK47" s="7">
        <v>80</v>
      </c>
      <c r="AL47" s="7"/>
      <c r="AM47" s="7">
        <v>100</v>
      </c>
      <c r="AN47" s="7" t="s">
        <v>255</v>
      </c>
      <c r="AO47" s="63">
        <v>5.8</v>
      </c>
      <c r="AP47" s="58">
        <v>800</v>
      </c>
      <c r="AQ47" s="58">
        <v>425</v>
      </c>
      <c r="AR47" s="58">
        <v>425</v>
      </c>
      <c r="AS47" s="30"/>
      <c r="AT47" s="30"/>
      <c r="AU47" s="30">
        <v>0</v>
      </c>
      <c r="AV47" s="197">
        <v>7395</v>
      </c>
      <c r="AW47" s="197">
        <v>4640</v>
      </c>
      <c r="AX47" s="197">
        <v>12035</v>
      </c>
      <c r="AY47" s="202">
        <v>2125</v>
      </c>
      <c r="AZ47" s="202">
        <v>6917.47</v>
      </c>
      <c r="BA47" s="202">
        <f>2125+6917.47</f>
        <v>9042.4700000000012</v>
      </c>
      <c r="BB47" s="189" t="s">
        <v>408</v>
      </c>
      <c r="BC47" s="191" t="s">
        <v>407</v>
      </c>
      <c r="BD47" s="192"/>
      <c r="BE47" s="30"/>
      <c r="BF47" s="186"/>
      <c r="BG47" s="183"/>
      <c r="BH47" s="183"/>
    </row>
    <row r="48" spans="1:60" ht="30" hidden="1" customHeight="1">
      <c r="A48" s="5" t="s">
        <v>290</v>
      </c>
      <c r="B48" s="116" t="s">
        <v>409</v>
      </c>
      <c r="C48" s="116"/>
      <c r="D48" s="116" t="s">
        <v>410</v>
      </c>
      <c r="E48" s="117" t="s">
        <v>216</v>
      </c>
      <c r="F48" s="117" t="s">
        <v>293</v>
      </c>
      <c r="G48" s="116" t="s">
        <v>294</v>
      </c>
      <c r="H48" s="116"/>
      <c r="I48" s="117" t="s">
        <v>129</v>
      </c>
      <c r="J48" s="5" t="s">
        <v>110</v>
      </c>
      <c r="K48" s="5">
        <v>1</v>
      </c>
      <c r="L48" s="5" t="s">
        <v>110</v>
      </c>
      <c r="M48" s="5">
        <v>1</v>
      </c>
      <c r="N48" s="7" t="s">
        <v>115</v>
      </c>
      <c r="O48" s="7">
        <v>1</v>
      </c>
      <c r="P48" s="5" t="s">
        <v>303</v>
      </c>
      <c r="Q48" s="5"/>
      <c r="R48" s="5" t="s">
        <v>112</v>
      </c>
      <c r="S48" s="5">
        <v>5</v>
      </c>
      <c r="T48" s="5" t="s">
        <v>411</v>
      </c>
      <c r="U48" s="5" t="s">
        <v>412</v>
      </c>
      <c r="V48" s="5" t="s">
        <v>115</v>
      </c>
      <c r="W48" s="175">
        <v>45712</v>
      </c>
      <c r="X48" s="175">
        <v>45716</v>
      </c>
      <c r="Y48" s="5"/>
      <c r="Z48" s="3"/>
      <c r="AA48" s="2"/>
      <c r="AB48" s="3"/>
      <c r="AC48" s="3"/>
      <c r="AD48" s="50"/>
      <c r="AE48" s="50"/>
      <c r="AF48" s="12">
        <f t="shared" si="0"/>
        <v>56</v>
      </c>
      <c r="AG48" s="7">
        <v>40</v>
      </c>
      <c r="AH48" s="7"/>
      <c r="AI48" s="7">
        <v>40</v>
      </c>
      <c r="AJ48" s="7"/>
      <c r="AK48" s="7">
        <v>100</v>
      </c>
      <c r="AL48" s="7"/>
      <c r="AM48" s="7">
        <v>80</v>
      </c>
      <c r="AN48" s="7"/>
      <c r="AO48" s="63">
        <v>5.8</v>
      </c>
      <c r="AP48" s="58">
        <v>0</v>
      </c>
      <c r="AQ48" s="58">
        <v>0</v>
      </c>
      <c r="AR48" s="58">
        <v>0</v>
      </c>
      <c r="AS48" s="30"/>
      <c r="AT48" s="30"/>
      <c r="AU48" s="30">
        <v>0</v>
      </c>
      <c r="AV48" s="197">
        <v>0</v>
      </c>
      <c r="AW48" s="197">
        <v>0</v>
      </c>
      <c r="AX48" s="197">
        <v>0</v>
      </c>
      <c r="AY48" s="202"/>
      <c r="AZ48" s="202"/>
      <c r="BA48" s="202">
        <v>0</v>
      </c>
      <c r="BB48" s="5" t="s">
        <v>413</v>
      </c>
      <c r="BC48" s="189" t="s">
        <v>414</v>
      </c>
      <c r="BD48" s="114"/>
      <c r="BE48" s="30"/>
      <c r="BF48" s="186"/>
      <c r="BG48" s="183"/>
      <c r="BH48" s="183"/>
    </row>
    <row r="49" spans="1:60" ht="30" hidden="1" customHeight="1">
      <c r="A49" s="5" t="s">
        <v>415</v>
      </c>
      <c r="B49" s="119" t="s">
        <v>416</v>
      </c>
      <c r="C49" s="119">
        <v>2025</v>
      </c>
      <c r="D49" s="118" t="s">
        <v>417</v>
      </c>
      <c r="E49" s="117" t="s">
        <v>216</v>
      </c>
      <c r="F49" s="118" t="s">
        <v>217</v>
      </c>
      <c r="G49" s="119" t="s">
        <v>418</v>
      </c>
      <c r="H49" s="119"/>
      <c r="I49" s="117" t="s">
        <v>109</v>
      </c>
      <c r="J49" s="5" t="s">
        <v>110</v>
      </c>
      <c r="K49" s="5">
        <v>1</v>
      </c>
      <c r="L49" s="5" t="s">
        <v>110</v>
      </c>
      <c r="M49" s="5">
        <v>1</v>
      </c>
      <c r="N49" s="7" t="s">
        <v>115</v>
      </c>
      <c r="O49" s="7">
        <v>1</v>
      </c>
      <c r="P49" s="5" t="s">
        <v>111</v>
      </c>
      <c r="Q49" s="5">
        <v>1</v>
      </c>
      <c r="R49" s="5" t="s">
        <v>112</v>
      </c>
      <c r="S49" s="5">
        <v>2</v>
      </c>
      <c r="T49" s="5" t="s">
        <v>139</v>
      </c>
      <c r="U49" s="5" t="s">
        <v>419</v>
      </c>
      <c r="V49" s="5"/>
      <c r="W49" s="175">
        <v>45713</v>
      </c>
      <c r="X49" s="175">
        <v>45715</v>
      </c>
      <c r="Y49" s="5" t="s">
        <v>115</v>
      </c>
      <c r="Z49" s="3"/>
      <c r="AA49" s="2"/>
      <c r="AB49" s="3"/>
      <c r="AC49" s="3"/>
      <c r="AD49" s="51"/>
      <c r="AE49" s="51"/>
      <c r="AF49" s="38">
        <f t="shared" si="0"/>
        <v>68</v>
      </c>
      <c r="AG49" s="7">
        <v>60</v>
      </c>
      <c r="AH49" s="7"/>
      <c r="AI49" s="7">
        <v>80</v>
      </c>
      <c r="AJ49" s="7"/>
      <c r="AK49" s="7">
        <v>60</v>
      </c>
      <c r="AL49" s="7"/>
      <c r="AM49" s="7">
        <v>80</v>
      </c>
      <c r="AN49" s="7"/>
      <c r="AO49" s="63">
        <v>5.8</v>
      </c>
      <c r="AP49" s="58">
        <v>1600</v>
      </c>
      <c r="AQ49" s="58">
        <v>370</v>
      </c>
      <c r="AR49" s="58">
        <v>370</v>
      </c>
      <c r="AS49" s="30">
        <v>3219</v>
      </c>
      <c r="AT49" s="30"/>
      <c r="AU49" s="30">
        <v>3219</v>
      </c>
      <c r="AV49" s="197">
        <v>3219</v>
      </c>
      <c r="AW49" s="197"/>
      <c r="AX49" s="197">
        <v>3219</v>
      </c>
      <c r="AY49" s="202">
        <v>6276.7</v>
      </c>
      <c r="AZ49" s="202">
        <v>0</v>
      </c>
      <c r="BA49" s="202">
        <v>6276.7</v>
      </c>
      <c r="BB49" s="5" t="s">
        <v>297</v>
      </c>
      <c r="BC49" s="189" t="s">
        <v>420</v>
      </c>
      <c r="BD49" s="190">
        <v>3</v>
      </c>
      <c r="BE49" s="30"/>
      <c r="BF49" s="186"/>
      <c r="BG49" s="183"/>
      <c r="BH49" s="183"/>
    </row>
    <row r="50" spans="1:60" ht="30" hidden="1" customHeight="1">
      <c r="A50" s="5" t="s">
        <v>421</v>
      </c>
      <c r="B50" s="116" t="s">
        <v>422</v>
      </c>
      <c r="C50" s="116" t="s">
        <v>105</v>
      </c>
      <c r="D50" s="116" t="s">
        <v>423</v>
      </c>
      <c r="E50" s="117" t="s">
        <v>107</v>
      </c>
      <c r="F50" s="117" t="s">
        <v>108</v>
      </c>
      <c r="G50" s="116"/>
      <c r="H50" s="116"/>
      <c r="I50" s="117" t="s">
        <v>424</v>
      </c>
      <c r="J50" s="5" t="s">
        <v>110</v>
      </c>
      <c r="K50" s="5">
        <v>1</v>
      </c>
      <c r="L50" s="5" t="s">
        <v>110</v>
      </c>
      <c r="M50" s="5">
        <v>1</v>
      </c>
      <c r="N50" s="7"/>
      <c r="O50" s="7"/>
      <c r="P50" s="5" t="s">
        <v>111</v>
      </c>
      <c r="Q50" s="5"/>
      <c r="R50" s="5" t="s">
        <v>112</v>
      </c>
      <c r="S50" s="5">
        <v>5</v>
      </c>
      <c r="T50" s="5" t="s">
        <v>425</v>
      </c>
      <c r="U50" s="5"/>
      <c r="V50" s="5"/>
      <c r="W50" s="175">
        <v>45717</v>
      </c>
      <c r="X50" s="175">
        <v>45717</v>
      </c>
      <c r="Y50" s="5"/>
      <c r="Z50" s="3" t="s">
        <v>141</v>
      </c>
      <c r="AA50" s="2" t="s">
        <v>426</v>
      </c>
      <c r="AB50" s="3" t="s">
        <v>118</v>
      </c>
      <c r="AC50" s="3" t="s">
        <v>427</v>
      </c>
      <c r="AD50" s="50"/>
      <c r="AE50" s="50"/>
      <c r="AF50" s="12">
        <f t="shared" si="0"/>
        <v>86</v>
      </c>
      <c r="AG50" s="7">
        <v>80</v>
      </c>
      <c r="AH50" s="7" t="s">
        <v>428</v>
      </c>
      <c r="AI50" s="7">
        <v>100</v>
      </c>
      <c r="AJ50" s="7" t="s">
        <v>429</v>
      </c>
      <c r="AK50" s="7">
        <v>80</v>
      </c>
      <c r="AL50" s="7"/>
      <c r="AM50" s="7">
        <v>80</v>
      </c>
      <c r="AN50" s="7"/>
      <c r="AO50" s="63">
        <v>5.8</v>
      </c>
      <c r="AP50" s="58">
        <v>1600</v>
      </c>
      <c r="AQ50" s="58">
        <v>420</v>
      </c>
      <c r="AR50" s="58">
        <v>420</v>
      </c>
      <c r="AS50" s="30">
        <v>19488</v>
      </c>
      <c r="AT50" s="30">
        <v>9280</v>
      </c>
      <c r="AU50" s="30">
        <v>28768</v>
      </c>
      <c r="AV50" s="197">
        <v>19488</v>
      </c>
      <c r="AW50" s="197">
        <v>9280</v>
      </c>
      <c r="AX50" s="197">
        <v>28768</v>
      </c>
      <c r="AY50" s="202"/>
      <c r="AZ50" s="202"/>
      <c r="BA50" s="202">
        <v>0</v>
      </c>
      <c r="BB50" s="5" t="s">
        <v>430</v>
      </c>
      <c r="BC50" s="189"/>
      <c r="BD50" s="190">
        <v>3</v>
      </c>
      <c r="BE50" s="30"/>
      <c r="BF50" s="186"/>
      <c r="BG50" s="183"/>
      <c r="BH50" s="183"/>
    </row>
    <row r="51" spans="1:60" ht="30" hidden="1" customHeight="1">
      <c r="A51" s="115" t="s">
        <v>122</v>
      </c>
      <c r="B51" s="116" t="s">
        <v>431</v>
      </c>
      <c r="C51" s="116" t="s">
        <v>432</v>
      </c>
      <c r="D51" s="118" t="s">
        <v>433</v>
      </c>
      <c r="E51" s="117" t="s">
        <v>434</v>
      </c>
      <c r="F51" s="117" t="s">
        <v>166</v>
      </c>
      <c r="G51" s="116"/>
      <c r="H51" s="119"/>
      <c r="I51" s="117" t="s">
        <v>109</v>
      </c>
      <c r="J51" s="5" t="s">
        <v>110</v>
      </c>
      <c r="K51" s="5">
        <v>1</v>
      </c>
      <c r="L51" s="41" t="s">
        <v>110</v>
      </c>
      <c r="M51" s="41">
        <v>1</v>
      </c>
      <c r="N51" s="39" t="s">
        <v>115</v>
      </c>
      <c r="O51" s="39">
        <v>1</v>
      </c>
      <c r="P51" s="5" t="s">
        <v>111</v>
      </c>
      <c r="Q51" s="5">
        <v>1</v>
      </c>
      <c r="R51" s="41" t="s">
        <v>112</v>
      </c>
      <c r="S51" s="5">
        <v>5</v>
      </c>
      <c r="T51" s="5" t="s">
        <v>218</v>
      </c>
      <c r="U51" s="41" t="s">
        <v>219</v>
      </c>
      <c r="V51" s="5"/>
      <c r="W51" s="174">
        <v>45717</v>
      </c>
      <c r="X51" s="174">
        <v>45722</v>
      </c>
      <c r="Y51" s="41" t="s">
        <v>115</v>
      </c>
      <c r="Z51" s="3" t="s">
        <v>435</v>
      </c>
      <c r="AA51" s="2" t="s">
        <v>436</v>
      </c>
      <c r="AB51" s="3" t="s">
        <v>437</v>
      </c>
      <c r="AC51" s="3" t="s">
        <v>438</v>
      </c>
      <c r="AD51" s="50"/>
      <c r="AE51" s="50"/>
      <c r="AF51" s="12">
        <f t="shared" si="0"/>
        <v>80</v>
      </c>
      <c r="AG51" s="7">
        <v>80</v>
      </c>
      <c r="AH51" s="7"/>
      <c r="AI51" s="7">
        <v>80</v>
      </c>
      <c r="AJ51" s="7"/>
      <c r="AK51" s="7">
        <v>80</v>
      </c>
      <c r="AL51" s="7"/>
      <c r="AM51" s="7">
        <v>80</v>
      </c>
      <c r="AN51" s="7"/>
      <c r="AO51" s="63">
        <v>5.8</v>
      </c>
      <c r="AP51" s="58">
        <v>1600</v>
      </c>
      <c r="AQ51" s="58">
        <v>330</v>
      </c>
      <c r="AR51" s="58">
        <v>330</v>
      </c>
      <c r="AS51" s="30">
        <v>15312</v>
      </c>
      <c r="AT51" s="30"/>
      <c r="AU51" s="30">
        <v>15312</v>
      </c>
      <c r="AV51" s="199">
        <v>15312</v>
      </c>
      <c r="AW51" s="199"/>
      <c r="AX51" s="199">
        <v>15312</v>
      </c>
      <c r="AY51" s="203">
        <v>9182.2000000000007</v>
      </c>
      <c r="AZ51" s="203">
        <v>7780.4</v>
      </c>
      <c r="BA51" s="203">
        <v>9182.2000000000007</v>
      </c>
      <c r="BB51" s="189" t="s">
        <v>439</v>
      </c>
      <c r="BC51" s="191" t="s">
        <v>440</v>
      </c>
      <c r="BD51" s="192">
        <v>3</v>
      </c>
      <c r="BE51" s="30"/>
      <c r="BF51" s="186"/>
      <c r="BG51" s="183"/>
      <c r="BH51" s="183"/>
    </row>
    <row r="52" spans="1:60" ht="30" hidden="1" customHeight="1">
      <c r="A52" s="5" t="s">
        <v>421</v>
      </c>
      <c r="B52" s="116" t="s">
        <v>441</v>
      </c>
      <c r="C52" s="116" t="s">
        <v>442</v>
      </c>
      <c r="D52" s="117" t="s">
        <v>443</v>
      </c>
      <c r="E52" s="117" t="s">
        <v>107</v>
      </c>
      <c r="F52" s="117" t="s">
        <v>108</v>
      </c>
      <c r="G52" s="116"/>
      <c r="H52" s="116"/>
      <c r="I52" s="117" t="s">
        <v>109</v>
      </c>
      <c r="J52" s="5" t="s">
        <v>110</v>
      </c>
      <c r="K52" s="5">
        <v>1</v>
      </c>
      <c r="L52" s="5" t="s">
        <v>110</v>
      </c>
      <c r="M52" s="5">
        <v>1</v>
      </c>
      <c r="N52" s="7"/>
      <c r="O52" s="7"/>
      <c r="P52" s="5" t="s">
        <v>111</v>
      </c>
      <c r="Q52" s="5">
        <v>1</v>
      </c>
      <c r="R52" s="5" t="s">
        <v>112</v>
      </c>
      <c r="S52" s="5">
        <v>5</v>
      </c>
      <c r="T52" s="5" t="s">
        <v>139</v>
      </c>
      <c r="U52" s="5" t="s">
        <v>444</v>
      </c>
      <c r="V52" s="5"/>
      <c r="W52" s="175">
        <v>45718</v>
      </c>
      <c r="X52" s="175">
        <v>45723</v>
      </c>
      <c r="Y52" s="5" t="s">
        <v>115</v>
      </c>
      <c r="Z52" s="3" t="s">
        <v>116</v>
      </c>
      <c r="AA52" s="2" t="s">
        <v>445</v>
      </c>
      <c r="AB52" s="3" t="s">
        <v>118</v>
      </c>
      <c r="AC52" s="3" t="s">
        <v>446</v>
      </c>
      <c r="AD52" s="50"/>
      <c r="AE52" s="50"/>
      <c r="AF52" s="12">
        <f t="shared" si="0"/>
        <v>72</v>
      </c>
      <c r="AG52" s="7">
        <v>80</v>
      </c>
      <c r="AH52" s="7"/>
      <c r="AI52" s="7">
        <v>80</v>
      </c>
      <c r="AJ52" s="7"/>
      <c r="AK52" s="7">
        <v>40</v>
      </c>
      <c r="AL52" s="7"/>
      <c r="AM52" s="7">
        <v>80</v>
      </c>
      <c r="AN52" s="7"/>
      <c r="AO52" s="63">
        <v>5.8</v>
      </c>
      <c r="AP52" s="58">
        <v>1600</v>
      </c>
      <c r="AQ52" s="58">
        <v>390</v>
      </c>
      <c r="AR52" s="58">
        <v>390</v>
      </c>
      <c r="AS52" s="30">
        <v>18096</v>
      </c>
      <c r="AT52" s="30"/>
      <c r="AU52" s="30">
        <v>18096</v>
      </c>
      <c r="AV52" s="197">
        <v>18096</v>
      </c>
      <c r="AW52" s="197"/>
      <c r="AX52" s="197">
        <v>18096</v>
      </c>
      <c r="AY52" s="202">
        <v>12815.69</v>
      </c>
      <c r="AZ52" s="202">
        <v>9213.81</v>
      </c>
      <c r="BA52" s="202">
        <v>12815.69</v>
      </c>
      <c r="BB52" s="5" t="s">
        <v>447</v>
      </c>
      <c r="BC52" s="189" t="s">
        <v>448</v>
      </c>
      <c r="BD52" s="190">
        <v>3</v>
      </c>
      <c r="BE52" s="30"/>
      <c r="BF52" s="186"/>
      <c r="BG52" s="183"/>
      <c r="BH52" s="183"/>
    </row>
    <row r="53" spans="1:60" ht="30" hidden="1" customHeight="1">
      <c r="A53" s="5" t="s">
        <v>122</v>
      </c>
      <c r="B53" s="116" t="s">
        <v>449</v>
      </c>
      <c r="C53" s="116" t="s">
        <v>450</v>
      </c>
      <c r="D53" s="117" t="s">
        <v>451</v>
      </c>
      <c r="E53" s="117" t="s">
        <v>107</v>
      </c>
      <c r="F53" s="117" t="s">
        <v>108</v>
      </c>
      <c r="G53" s="116"/>
      <c r="H53" s="116"/>
      <c r="I53" s="117" t="s">
        <v>109</v>
      </c>
      <c r="J53" s="5" t="s">
        <v>110</v>
      </c>
      <c r="K53" s="5">
        <v>1</v>
      </c>
      <c r="L53" s="5" t="s">
        <v>110</v>
      </c>
      <c r="M53" s="5">
        <v>1</v>
      </c>
      <c r="N53" s="7"/>
      <c r="O53" s="7"/>
      <c r="P53" s="5" t="s">
        <v>111</v>
      </c>
      <c r="Q53" s="5">
        <v>1</v>
      </c>
      <c r="R53" s="5" t="s">
        <v>112</v>
      </c>
      <c r="S53" s="5">
        <v>3</v>
      </c>
      <c r="T53" s="5" t="s">
        <v>218</v>
      </c>
      <c r="U53" s="5" t="s">
        <v>219</v>
      </c>
      <c r="V53" s="5"/>
      <c r="W53" s="175">
        <v>45718</v>
      </c>
      <c r="X53" s="175">
        <v>45724</v>
      </c>
      <c r="Y53" s="5" t="s">
        <v>115</v>
      </c>
      <c r="Z53" s="3" t="s">
        <v>141</v>
      </c>
      <c r="AA53" s="2" t="s">
        <v>452</v>
      </c>
      <c r="AB53" s="3" t="s">
        <v>118</v>
      </c>
      <c r="AC53" s="3" t="s">
        <v>119</v>
      </c>
      <c r="AD53" s="50"/>
      <c r="AE53" s="50"/>
      <c r="AF53" s="12">
        <f t="shared" si="0"/>
        <v>68</v>
      </c>
      <c r="AG53" s="7">
        <v>100</v>
      </c>
      <c r="AH53" s="7"/>
      <c r="AI53" s="7">
        <v>40</v>
      </c>
      <c r="AJ53" s="7"/>
      <c r="AK53" s="7">
        <v>40</v>
      </c>
      <c r="AL53" s="7"/>
      <c r="AM53" s="7">
        <v>80</v>
      </c>
      <c r="AN53" s="7"/>
      <c r="AO53" s="63">
        <v>5.8</v>
      </c>
      <c r="AP53" s="58">
        <v>1600</v>
      </c>
      <c r="AQ53" s="58">
        <v>320</v>
      </c>
      <c r="AR53" s="58">
        <v>320</v>
      </c>
      <c r="AS53" s="30">
        <v>11136</v>
      </c>
      <c r="AT53" s="30"/>
      <c r="AU53" s="30">
        <v>11136</v>
      </c>
      <c r="AV53" s="197">
        <v>11136</v>
      </c>
      <c r="AW53" s="197"/>
      <c r="AX53" s="197">
        <v>11136</v>
      </c>
      <c r="AY53" s="202">
        <v>11042.29</v>
      </c>
      <c r="AZ53" s="202">
        <v>0</v>
      </c>
      <c r="BA53" s="202">
        <v>11042.29</v>
      </c>
      <c r="BB53" s="5" t="s">
        <v>453</v>
      </c>
      <c r="BC53" s="189" t="s">
        <v>454</v>
      </c>
      <c r="BD53" s="190">
        <v>3</v>
      </c>
      <c r="BE53" s="30"/>
      <c r="BF53" s="186"/>
      <c r="BG53" s="183"/>
      <c r="BH53" s="183"/>
    </row>
    <row r="54" spans="1:60" ht="30" hidden="1" customHeight="1">
      <c r="A54" s="5" t="s">
        <v>122</v>
      </c>
      <c r="B54" s="119" t="s">
        <v>455</v>
      </c>
      <c r="C54" s="119" t="s">
        <v>456</v>
      </c>
      <c r="D54" s="119"/>
      <c r="E54" s="117" t="s">
        <v>126</v>
      </c>
      <c r="F54" s="117" t="s">
        <v>321</v>
      </c>
      <c r="G54" s="116" t="s">
        <v>457</v>
      </c>
      <c r="H54" s="116"/>
      <c r="I54" s="117"/>
      <c r="J54" s="5" t="s">
        <v>178</v>
      </c>
      <c r="K54" s="5">
        <v>1</v>
      </c>
      <c r="L54" s="5" t="s">
        <v>178</v>
      </c>
      <c r="M54" s="5">
        <v>1</v>
      </c>
      <c r="N54" s="7"/>
      <c r="O54" s="7"/>
      <c r="P54" s="5" t="s">
        <v>179</v>
      </c>
      <c r="Q54" s="5"/>
      <c r="R54" s="5" t="s">
        <v>112</v>
      </c>
      <c r="S54" s="5">
        <v>3</v>
      </c>
      <c r="T54" s="5" t="s">
        <v>218</v>
      </c>
      <c r="U54" s="5" t="s">
        <v>219</v>
      </c>
      <c r="V54" s="5"/>
      <c r="W54" s="175">
        <v>45719</v>
      </c>
      <c r="X54" s="175">
        <v>45720</v>
      </c>
      <c r="Y54" s="5" t="s">
        <v>115</v>
      </c>
      <c r="Z54" s="3" t="s">
        <v>220</v>
      </c>
      <c r="AA54" s="3" t="s">
        <v>458</v>
      </c>
      <c r="AB54" s="3" t="s">
        <v>118</v>
      </c>
      <c r="AC54" s="3" t="s">
        <v>326</v>
      </c>
      <c r="AD54" s="42"/>
      <c r="AE54" s="42"/>
      <c r="AF54" s="38">
        <f t="shared" si="0"/>
        <v>60</v>
      </c>
      <c r="AG54" s="7">
        <v>80</v>
      </c>
      <c r="AH54" s="7"/>
      <c r="AI54" s="7">
        <v>40</v>
      </c>
      <c r="AJ54" s="7" t="s">
        <v>459</v>
      </c>
      <c r="AK54" s="7">
        <v>40</v>
      </c>
      <c r="AL54" s="7"/>
      <c r="AM54" s="7">
        <v>80</v>
      </c>
      <c r="AN54" s="7"/>
      <c r="AO54" s="63">
        <v>5.8</v>
      </c>
      <c r="AP54" s="58">
        <v>1600</v>
      </c>
      <c r="AQ54" s="58">
        <v>330</v>
      </c>
      <c r="AR54" s="58">
        <v>330</v>
      </c>
      <c r="AS54" s="30">
        <v>11484</v>
      </c>
      <c r="AT54" s="30">
        <v>9280</v>
      </c>
      <c r="AU54" s="30">
        <v>20764</v>
      </c>
      <c r="AV54" s="197">
        <v>11484</v>
      </c>
      <c r="AW54" s="197">
        <v>9280</v>
      </c>
      <c r="AX54" s="197">
        <v>20764</v>
      </c>
      <c r="AY54" s="202"/>
      <c r="AZ54" s="202"/>
      <c r="BA54" s="202">
        <v>0</v>
      </c>
      <c r="BB54" s="5" t="s">
        <v>460</v>
      </c>
      <c r="BC54" s="189"/>
      <c r="BD54" s="189">
        <v>3</v>
      </c>
      <c r="BE54" s="30"/>
      <c r="BF54" s="186"/>
      <c r="BG54" s="183"/>
      <c r="BH54" s="183"/>
    </row>
    <row r="55" spans="1:60" ht="30" hidden="1" customHeight="1">
      <c r="A55" s="117" t="s">
        <v>122</v>
      </c>
      <c r="B55" s="116" t="s">
        <v>461</v>
      </c>
      <c r="C55" s="119"/>
      <c r="D55" s="119"/>
      <c r="E55" s="117" t="s">
        <v>126</v>
      </c>
      <c r="F55" s="117" t="s">
        <v>340</v>
      </c>
      <c r="G55" s="116"/>
      <c r="H55" s="119"/>
      <c r="I55" s="118"/>
      <c r="J55" s="41" t="s">
        <v>178</v>
      </c>
      <c r="K55" s="5">
        <v>0</v>
      </c>
      <c r="L55" s="41" t="s">
        <v>178</v>
      </c>
      <c r="M55" s="5">
        <v>0</v>
      </c>
      <c r="N55" s="7"/>
      <c r="O55" s="7"/>
      <c r="P55" s="5" t="s">
        <v>179</v>
      </c>
      <c r="Q55" s="5"/>
      <c r="R55" s="5" t="s">
        <v>130</v>
      </c>
      <c r="S55" s="5">
        <v>5</v>
      </c>
      <c r="T55" s="5" t="s">
        <v>130</v>
      </c>
      <c r="U55" s="5"/>
      <c r="V55" s="5"/>
      <c r="W55" s="175">
        <v>45719</v>
      </c>
      <c r="X55" s="175">
        <v>45723</v>
      </c>
      <c r="Y55" s="5" t="s">
        <v>115</v>
      </c>
      <c r="Z55" s="3"/>
      <c r="AA55" s="2"/>
      <c r="AB55" s="3"/>
      <c r="AC55" s="3"/>
      <c r="AD55" s="50"/>
      <c r="AE55" s="50"/>
      <c r="AF55" s="12">
        <f t="shared" si="0"/>
        <v>60</v>
      </c>
      <c r="AG55" s="39">
        <v>80</v>
      </c>
      <c r="AH55" s="39"/>
      <c r="AI55" s="39">
        <v>40</v>
      </c>
      <c r="AJ55" s="39"/>
      <c r="AK55" s="39">
        <v>40</v>
      </c>
      <c r="AL55" s="39"/>
      <c r="AM55" s="39">
        <v>80</v>
      </c>
      <c r="AN55" s="39"/>
      <c r="AO55" s="63">
        <v>5.8</v>
      </c>
      <c r="AP55" s="58"/>
      <c r="AQ55" s="58"/>
      <c r="AR55" s="58"/>
      <c r="AS55" s="30">
        <v>0</v>
      </c>
      <c r="AT55" s="30">
        <v>0</v>
      </c>
      <c r="AU55" s="30">
        <v>0</v>
      </c>
      <c r="AV55" s="197">
        <v>0</v>
      </c>
      <c r="AW55" s="197">
        <v>0</v>
      </c>
      <c r="AX55" s="197">
        <v>0</v>
      </c>
      <c r="AY55" s="202"/>
      <c r="AZ55" s="202"/>
      <c r="BA55" s="202">
        <v>0</v>
      </c>
      <c r="BB55" s="5"/>
      <c r="BC55" s="189"/>
      <c r="BD55" s="114"/>
      <c r="BE55" s="30"/>
      <c r="BF55" s="186"/>
      <c r="BG55" s="183"/>
      <c r="BH55" s="183"/>
    </row>
    <row r="56" spans="1:60" ht="30" hidden="1" customHeight="1">
      <c r="A56" s="5" t="s">
        <v>122</v>
      </c>
      <c r="B56" s="119" t="s">
        <v>462</v>
      </c>
      <c r="C56" s="119" t="s">
        <v>463</v>
      </c>
      <c r="D56" s="118" t="s">
        <v>464</v>
      </c>
      <c r="E56" s="117" t="s">
        <v>165</v>
      </c>
      <c r="F56" s="118" t="s">
        <v>166</v>
      </c>
      <c r="G56" s="119" t="s">
        <v>465</v>
      </c>
      <c r="H56" s="119"/>
      <c r="I56" s="118"/>
      <c r="J56" s="41" t="s">
        <v>110</v>
      </c>
      <c r="K56" s="5">
        <v>1</v>
      </c>
      <c r="L56" s="41" t="s">
        <v>178</v>
      </c>
      <c r="M56" s="5">
        <v>1</v>
      </c>
      <c r="N56" s="7" t="s">
        <v>115</v>
      </c>
      <c r="O56" s="7">
        <v>1</v>
      </c>
      <c r="P56" s="5" t="s">
        <v>179</v>
      </c>
      <c r="Q56" s="5"/>
      <c r="R56" s="5" t="s">
        <v>112</v>
      </c>
      <c r="S56" s="5">
        <v>3</v>
      </c>
      <c r="T56" s="5" t="s">
        <v>218</v>
      </c>
      <c r="U56" s="41" t="s">
        <v>219</v>
      </c>
      <c r="V56" s="5"/>
      <c r="W56" s="175">
        <v>45720</v>
      </c>
      <c r="X56" s="175">
        <v>45723</v>
      </c>
      <c r="Y56" s="5" t="s">
        <v>115</v>
      </c>
      <c r="Z56" s="3" t="s">
        <v>116</v>
      </c>
      <c r="AA56" s="3" t="s">
        <v>466</v>
      </c>
      <c r="AB56" s="3" t="s">
        <v>118</v>
      </c>
      <c r="AC56" s="3" t="s">
        <v>467</v>
      </c>
      <c r="AD56" s="3"/>
      <c r="AE56" s="3"/>
      <c r="AF56" s="12">
        <f t="shared" si="0"/>
        <v>78</v>
      </c>
      <c r="AG56" s="39">
        <v>80</v>
      </c>
      <c r="AH56" s="39"/>
      <c r="AI56" s="39">
        <v>100</v>
      </c>
      <c r="AJ56" s="39" t="s">
        <v>468</v>
      </c>
      <c r="AK56" s="39">
        <v>40</v>
      </c>
      <c r="AL56" s="39"/>
      <c r="AM56" s="39">
        <v>80</v>
      </c>
      <c r="AN56" s="39"/>
      <c r="AO56" s="63">
        <v>5.8</v>
      </c>
      <c r="AP56" s="58">
        <v>1600</v>
      </c>
      <c r="AQ56" s="58">
        <v>330</v>
      </c>
      <c r="AR56" s="58">
        <v>420</v>
      </c>
      <c r="AS56" s="30">
        <v>11484</v>
      </c>
      <c r="AT56" s="30">
        <v>9280</v>
      </c>
      <c r="AU56" s="30">
        <v>20764</v>
      </c>
      <c r="AV56" s="197">
        <v>14616</v>
      </c>
      <c r="AW56" s="197">
        <v>9280</v>
      </c>
      <c r="AX56" s="197">
        <v>23896</v>
      </c>
      <c r="AY56" s="202"/>
      <c r="AZ56" s="202"/>
      <c r="BA56" s="202">
        <v>0</v>
      </c>
      <c r="BB56" s="189" t="s">
        <v>469</v>
      </c>
      <c r="BC56" s="191"/>
      <c r="BD56" s="41">
        <v>3</v>
      </c>
      <c r="BE56" s="30"/>
      <c r="BF56" s="186"/>
      <c r="BG56" s="183"/>
      <c r="BH56" s="183"/>
    </row>
    <row r="57" spans="1:60" ht="30" hidden="1" customHeight="1">
      <c r="A57" s="5" t="s">
        <v>122</v>
      </c>
      <c r="B57" s="119" t="s">
        <v>470</v>
      </c>
      <c r="C57" s="119" t="s">
        <v>471</v>
      </c>
      <c r="D57" s="118" t="s">
        <v>472</v>
      </c>
      <c r="E57" s="117" t="s">
        <v>165</v>
      </c>
      <c r="F57" s="118" t="s">
        <v>166</v>
      </c>
      <c r="G57" s="116" t="s">
        <v>465</v>
      </c>
      <c r="H57" s="119"/>
      <c r="I57" s="118"/>
      <c r="J57" s="41" t="s">
        <v>110</v>
      </c>
      <c r="K57" s="5">
        <v>1</v>
      </c>
      <c r="L57" s="41" t="s">
        <v>178</v>
      </c>
      <c r="M57" s="5">
        <v>1</v>
      </c>
      <c r="N57" s="7"/>
      <c r="O57" s="7"/>
      <c r="P57" s="5" t="s">
        <v>179</v>
      </c>
      <c r="Q57" s="5"/>
      <c r="R57" s="5" t="s">
        <v>112</v>
      </c>
      <c r="S57" s="5">
        <v>3</v>
      </c>
      <c r="T57" s="5" t="s">
        <v>218</v>
      </c>
      <c r="U57" s="41" t="s">
        <v>219</v>
      </c>
      <c r="V57" s="5"/>
      <c r="W57" s="175">
        <v>45720</v>
      </c>
      <c r="X57" s="175">
        <v>45723</v>
      </c>
      <c r="Y57" s="5" t="s">
        <v>115</v>
      </c>
      <c r="Z57" s="3" t="s">
        <v>116</v>
      </c>
      <c r="AA57" s="3" t="s">
        <v>466</v>
      </c>
      <c r="AB57" s="3" t="s">
        <v>118</v>
      </c>
      <c r="AC57" s="3" t="s">
        <v>473</v>
      </c>
      <c r="AD57" s="3"/>
      <c r="AE57" s="3"/>
      <c r="AF57" s="12">
        <f t="shared" si="0"/>
        <v>74</v>
      </c>
      <c r="AG57" s="7">
        <v>80</v>
      </c>
      <c r="AH57" s="7"/>
      <c r="AI57" s="7">
        <v>60</v>
      </c>
      <c r="AJ57" s="7" t="s">
        <v>474</v>
      </c>
      <c r="AK57" s="7">
        <v>80</v>
      </c>
      <c r="AL57" s="7"/>
      <c r="AM57" s="7">
        <v>80</v>
      </c>
      <c r="AN57" s="7"/>
      <c r="AO57" s="63">
        <v>5.8</v>
      </c>
      <c r="AP57" s="58">
        <v>1600</v>
      </c>
      <c r="AQ57" s="58">
        <v>320</v>
      </c>
      <c r="AR57" s="58">
        <v>320</v>
      </c>
      <c r="AS57" s="30">
        <v>11136</v>
      </c>
      <c r="AT57" s="30">
        <v>9280</v>
      </c>
      <c r="AU57" s="30">
        <v>20416</v>
      </c>
      <c r="AV57" s="197">
        <v>11136</v>
      </c>
      <c r="AW57" s="197">
        <v>9280</v>
      </c>
      <c r="AX57" s="197">
        <v>20416</v>
      </c>
      <c r="AY57" s="202"/>
      <c r="AZ57" s="202"/>
      <c r="BA57" s="202">
        <v>0</v>
      </c>
      <c r="BB57" s="189" t="s">
        <v>475</v>
      </c>
      <c r="BC57" s="191"/>
      <c r="BD57" s="41">
        <v>3</v>
      </c>
      <c r="BE57" s="30"/>
      <c r="BF57" s="186"/>
      <c r="BG57" s="183"/>
      <c r="BH57" s="183"/>
    </row>
    <row r="58" spans="1:60" ht="30" hidden="1" customHeight="1">
      <c r="A58" s="5" t="s">
        <v>476</v>
      </c>
      <c r="B58" s="119" t="s">
        <v>477</v>
      </c>
      <c r="C58" s="119">
        <v>2025</v>
      </c>
      <c r="D58" s="118" t="s">
        <v>478</v>
      </c>
      <c r="E58" s="117" t="s">
        <v>107</v>
      </c>
      <c r="F58" s="118" t="s">
        <v>108</v>
      </c>
      <c r="G58" s="119"/>
      <c r="H58" s="119"/>
      <c r="I58" s="117" t="s">
        <v>109</v>
      </c>
      <c r="J58" s="5" t="s">
        <v>110</v>
      </c>
      <c r="K58" s="5">
        <v>1</v>
      </c>
      <c r="L58" s="5" t="s">
        <v>110</v>
      </c>
      <c r="M58" s="5">
        <v>1</v>
      </c>
      <c r="N58" s="7"/>
      <c r="O58" s="7"/>
      <c r="P58" s="5" t="s">
        <v>111</v>
      </c>
      <c r="Q58" s="5">
        <v>1</v>
      </c>
      <c r="R58" s="5" t="s">
        <v>112</v>
      </c>
      <c r="S58" s="5">
        <v>5</v>
      </c>
      <c r="T58" s="5" t="s">
        <v>113</v>
      </c>
      <c r="U58" s="5" t="s">
        <v>479</v>
      </c>
      <c r="V58" s="5"/>
      <c r="W58" s="175">
        <v>45724</v>
      </c>
      <c r="X58" s="175">
        <v>45731</v>
      </c>
      <c r="Y58" s="5" t="s">
        <v>115</v>
      </c>
      <c r="Z58" s="3" t="s">
        <v>116</v>
      </c>
      <c r="AA58" s="2" t="s">
        <v>480</v>
      </c>
      <c r="AB58" s="3" t="s">
        <v>118</v>
      </c>
      <c r="AC58" s="3" t="s">
        <v>119</v>
      </c>
      <c r="AD58" s="51"/>
      <c r="AE58" s="51"/>
      <c r="AF58" s="38">
        <f t="shared" si="0"/>
        <v>68</v>
      </c>
      <c r="AG58" s="7">
        <v>80</v>
      </c>
      <c r="AH58" s="7"/>
      <c r="AI58" s="7">
        <v>40</v>
      </c>
      <c r="AJ58" s="7"/>
      <c r="AK58" s="7">
        <v>80</v>
      </c>
      <c r="AL58" s="7"/>
      <c r="AM58" s="7">
        <v>80</v>
      </c>
      <c r="AN58" s="7"/>
      <c r="AO58" s="63">
        <v>5.8</v>
      </c>
      <c r="AP58" s="58">
        <v>1600</v>
      </c>
      <c r="AQ58" s="58">
        <v>420</v>
      </c>
      <c r="AR58" s="58">
        <v>420</v>
      </c>
      <c r="AS58" s="30">
        <v>19488</v>
      </c>
      <c r="AT58" s="30"/>
      <c r="AU58" s="30">
        <v>19488</v>
      </c>
      <c r="AV58" s="197">
        <v>19488</v>
      </c>
      <c r="AW58" s="197"/>
      <c r="AX58" s="197">
        <v>19488</v>
      </c>
      <c r="AY58" s="202">
        <f>17471.54+70.1</f>
        <v>17541.64</v>
      </c>
      <c r="AZ58" s="202">
        <v>7420.74</v>
      </c>
      <c r="BA58" s="202">
        <f>17471.54+70.1</f>
        <v>17541.64</v>
      </c>
      <c r="BB58" s="5" t="s">
        <v>481</v>
      </c>
      <c r="BC58" s="41" t="s">
        <v>482</v>
      </c>
      <c r="BD58" s="192">
        <v>3</v>
      </c>
      <c r="BE58" s="30"/>
      <c r="BF58" s="186"/>
      <c r="BG58" s="183"/>
      <c r="BH58" s="183"/>
    </row>
    <row r="59" spans="1:60" ht="30" hidden="1" customHeight="1">
      <c r="A59" s="5" t="s">
        <v>103</v>
      </c>
      <c r="B59" s="119" t="s">
        <v>483</v>
      </c>
      <c r="C59" s="119"/>
      <c r="D59" s="118" t="s">
        <v>484</v>
      </c>
      <c r="E59" s="117" t="s">
        <v>107</v>
      </c>
      <c r="F59" s="117" t="s">
        <v>108</v>
      </c>
      <c r="G59" s="119"/>
      <c r="H59" s="119"/>
      <c r="I59" s="117" t="s">
        <v>109</v>
      </c>
      <c r="J59" s="5" t="s">
        <v>110</v>
      </c>
      <c r="K59" s="5">
        <v>1</v>
      </c>
      <c r="L59" s="5" t="s">
        <v>110</v>
      </c>
      <c r="M59" s="5">
        <v>1</v>
      </c>
      <c r="N59" s="7"/>
      <c r="O59" s="7"/>
      <c r="P59" s="5" t="s">
        <v>111</v>
      </c>
      <c r="Q59" s="5">
        <v>1</v>
      </c>
      <c r="R59" s="5" t="s">
        <v>112</v>
      </c>
      <c r="S59" s="5">
        <v>3</v>
      </c>
      <c r="T59" s="5" t="s">
        <v>113</v>
      </c>
      <c r="U59" s="5" t="s">
        <v>485</v>
      </c>
      <c r="V59" s="5"/>
      <c r="W59" s="175">
        <v>45728</v>
      </c>
      <c r="X59" s="175">
        <v>45730</v>
      </c>
      <c r="Y59" s="5" t="s">
        <v>115</v>
      </c>
      <c r="Z59" s="3" t="s">
        <v>116</v>
      </c>
      <c r="AA59" s="2" t="s">
        <v>117</v>
      </c>
      <c r="AB59" s="3" t="s">
        <v>118</v>
      </c>
      <c r="AC59" s="3" t="s">
        <v>119</v>
      </c>
      <c r="AD59" s="51"/>
      <c r="AE59" s="51"/>
      <c r="AF59" s="38">
        <f t="shared" si="0"/>
        <v>70</v>
      </c>
      <c r="AG59" s="7">
        <v>60</v>
      </c>
      <c r="AH59" s="7"/>
      <c r="AI59" s="7">
        <v>80</v>
      </c>
      <c r="AJ59" s="7"/>
      <c r="AK59" s="7">
        <v>80</v>
      </c>
      <c r="AL59" s="7"/>
      <c r="AM59" s="7">
        <v>60</v>
      </c>
      <c r="AN59" s="7"/>
      <c r="AO59" s="63">
        <v>5.8</v>
      </c>
      <c r="AP59" s="58">
        <v>1600</v>
      </c>
      <c r="AQ59" s="58">
        <v>390</v>
      </c>
      <c r="AR59" s="58">
        <v>390</v>
      </c>
      <c r="AS59" s="30">
        <v>13572</v>
      </c>
      <c r="AT59" s="30"/>
      <c r="AU59" s="30">
        <v>13572</v>
      </c>
      <c r="AV59" s="197">
        <v>13572</v>
      </c>
      <c r="AW59" s="197"/>
      <c r="AX59" s="197">
        <v>13572</v>
      </c>
      <c r="AY59" s="202">
        <f>8369.4+170.46</f>
        <v>8539.8599999999988</v>
      </c>
      <c r="AZ59" s="202">
        <v>7317.99</v>
      </c>
      <c r="BA59" s="202">
        <f>8369.4+170.46</f>
        <v>8539.8599999999988</v>
      </c>
      <c r="BB59" s="5" t="s">
        <v>486</v>
      </c>
      <c r="BC59" s="189" t="s">
        <v>487</v>
      </c>
      <c r="BD59" s="190">
        <v>3</v>
      </c>
      <c r="BE59" s="30"/>
      <c r="BF59" s="186"/>
      <c r="BG59" s="183"/>
      <c r="BH59" s="183"/>
    </row>
    <row r="60" spans="1:60" ht="30" hidden="1" customHeight="1">
      <c r="A60" s="41" t="s">
        <v>122</v>
      </c>
      <c r="B60" s="116" t="s">
        <v>488</v>
      </c>
      <c r="C60" s="116" t="s">
        <v>489</v>
      </c>
      <c r="D60" s="118" t="s">
        <v>490</v>
      </c>
      <c r="E60" s="117" t="s">
        <v>107</v>
      </c>
      <c r="F60" s="117" t="s">
        <v>340</v>
      </c>
      <c r="G60" s="116"/>
      <c r="H60" s="119"/>
      <c r="I60" s="117" t="s">
        <v>109</v>
      </c>
      <c r="J60" s="5" t="s">
        <v>110</v>
      </c>
      <c r="K60" s="5">
        <v>1</v>
      </c>
      <c r="L60" s="41" t="s">
        <v>110</v>
      </c>
      <c r="M60" s="41">
        <v>1</v>
      </c>
      <c r="N60" s="39"/>
      <c r="O60" s="39"/>
      <c r="P60" s="5" t="s">
        <v>111</v>
      </c>
      <c r="Q60" s="5">
        <v>1</v>
      </c>
      <c r="R60" s="41" t="s">
        <v>112</v>
      </c>
      <c r="S60" s="5">
        <v>5</v>
      </c>
      <c r="T60" s="5" t="s">
        <v>218</v>
      </c>
      <c r="U60" s="5" t="s">
        <v>219</v>
      </c>
      <c r="V60" s="175"/>
      <c r="W60" s="174">
        <v>45733</v>
      </c>
      <c r="X60" s="174">
        <v>45733</v>
      </c>
      <c r="Y60" s="41" t="s">
        <v>115</v>
      </c>
      <c r="Z60" s="3" t="s">
        <v>220</v>
      </c>
      <c r="AA60" s="2" t="s">
        <v>491</v>
      </c>
      <c r="AB60" s="3" t="s">
        <v>118</v>
      </c>
      <c r="AC60" s="3" t="s">
        <v>446</v>
      </c>
      <c r="AD60" s="50"/>
      <c r="AE60" s="50"/>
      <c r="AF60" s="12">
        <f t="shared" si="0"/>
        <v>84</v>
      </c>
      <c r="AG60" s="7">
        <v>80</v>
      </c>
      <c r="AH60" s="7"/>
      <c r="AI60" s="7">
        <v>80</v>
      </c>
      <c r="AJ60" s="7"/>
      <c r="AK60" s="7">
        <v>100</v>
      </c>
      <c r="AL60" s="7"/>
      <c r="AM60" s="7">
        <v>80</v>
      </c>
      <c r="AN60" s="7"/>
      <c r="AO60" s="63">
        <v>5.8</v>
      </c>
      <c r="AP60" s="58">
        <v>1600</v>
      </c>
      <c r="AQ60" s="58">
        <v>320</v>
      </c>
      <c r="AR60" s="58">
        <v>320</v>
      </c>
      <c r="AS60" s="30">
        <v>14848</v>
      </c>
      <c r="AT60" s="30"/>
      <c r="AU60" s="30">
        <v>14848</v>
      </c>
      <c r="AV60" s="199">
        <v>14848</v>
      </c>
      <c r="AW60" s="199"/>
      <c r="AX60" s="199">
        <v>14848</v>
      </c>
      <c r="AY60" s="203">
        <f>12815.69+70.1</f>
        <v>12885.79</v>
      </c>
      <c r="AZ60" s="203">
        <v>7670.88</v>
      </c>
      <c r="BA60" s="203">
        <f>12815.69+70.1</f>
        <v>12885.79</v>
      </c>
      <c r="BB60" s="189" t="s">
        <v>492</v>
      </c>
      <c r="BC60" s="191" t="s">
        <v>493</v>
      </c>
      <c r="BD60" s="192">
        <v>3</v>
      </c>
      <c r="BE60" s="30"/>
      <c r="BF60" s="186"/>
      <c r="BG60" s="183"/>
      <c r="BH60" s="183"/>
    </row>
    <row r="61" spans="1:60" ht="30" hidden="1" customHeight="1">
      <c r="A61" s="5" t="s">
        <v>122</v>
      </c>
      <c r="B61" s="119" t="s">
        <v>488</v>
      </c>
      <c r="C61" s="119" t="s">
        <v>489</v>
      </c>
      <c r="D61" s="118" t="s">
        <v>490</v>
      </c>
      <c r="E61" s="117" t="s">
        <v>176</v>
      </c>
      <c r="F61" s="117" t="s">
        <v>340</v>
      </c>
      <c r="G61" s="119" t="s">
        <v>494</v>
      </c>
      <c r="H61" s="119"/>
      <c r="I61" s="117"/>
      <c r="J61" s="5" t="s">
        <v>110</v>
      </c>
      <c r="K61" s="5">
        <v>1</v>
      </c>
      <c r="L61" s="5" t="s">
        <v>178</v>
      </c>
      <c r="M61" s="5">
        <v>1</v>
      </c>
      <c r="N61" s="39"/>
      <c r="O61" s="39"/>
      <c r="P61" s="5" t="s">
        <v>179</v>
      </c>
      <c r="Q61" s="41"/>
      <c r="R61" s="41" t="s">
        <v>112</v>
      </c>
      <c r="S61" s="5">
        <v>5</v>
      </c>
      <c r="T61" s="5" t="s">
        <v>218</v>
      </c>
      <c r="U61" s="5"/>
      <c r="V61" s="175"/>
      <c r="W61" s="175">
        <v>45733</v>
      </c>
      <c r="X61" s="175">
        <v>45733</v>
      </c>
      <c r="Y61" s="5" t="s">
        <v>115</v>
      </c>
      <c r="Z61" s="3" t="s">
        <v>220</v>
      </c>
      <c r="AA61" s="3" t="s">
        <v>495</v>
      </c>
      <c r="AB61" s="3" t="s">
        <v>496</v>
      </c>
      <c r="AC61" s="3" t="s">
        <v>497</v>
      </c>
      <c r="AD61" s="42"/>
      <c r="AE61" s="42"/>
      <c r="AF61" s="38">
        <f t="shared" si="0"/>
        <v>72</v>
      </c>
      <c r="AG61" s="7">
        <v>80</v>
      </c>
      <c r="AH61" s="7"/>
      <c r="AI61" s="7">
        <v>80</v>
      </c>
      <c r="AJ61" s="7"/>
      <c r="AK61" s="7">
        <v>40</v>
      </c>
      <c r="AL61" s="7"/>
      <c r="AM61" s="7">
        <v>80</v>
      </c>
      <c r="AN61" s="7"/>
      <c r="AO61" s="63">
        <v>5.8</v>
      </c>
      <c r="AP61" s="58">
        <v>1600</v>
      </c>
      <c r="AQ61" s="58">
        <v>310</v>
      </c>
      <c r="AR61" s="58">
        <v>310</v>
      </c>
      <c r="AS61" s="30">
        <v>14384</v>
      </c>
      <c r="AT61" s="30">
        <v>9280</v>
      </c>
      <c r="AU61" s="30">
        <v>23664</v>
      </c>
      <c r="AV61" s="197">
        <v>14384</v>
      </c>
      <c r="AW61" s="197">
        <v>9280</v>
      </c>
      <c r="AX61" s="197">
        <v>23664</v>
      </c>
      <c r="AY61" s="202"/>
      <c r="AZ61" s="202"/>
      <c r="BA61" s="202">
        <v>0</v>
      </c>
      <c r="BB61" s="5" t="s">
        <v>498</v>
      </c>
      <c r="BC61" s="189"/>
      <c r="BD61" s="189">
        <v>3</v>
      </c>
      <c r="BE61" s="30" t="s">
        <v>499</v>
      </c>
      <c r="BF61" s="186"/>
      <c r="BG61" s="183"/>
      <c r="BH61" s="183"/>
    </row>
    <row r="62" spans="1:60" ht="30" hidden="1" customHeight="1">
      <c r="A62" s="5" t="s">
        <v>122</v>
      </c>
      <c r="B62" s="116" t="s">
        <v>488</v>
      </c>
      <c r="C62" s="116" t="s">
        <v>489</v>
      </c>
      <c r="D62" s="119" t="s">
        <v>500</v>
      </c>
      <c r="E62" s="117" t="s">
        <v>216</v>
      </c>
      <c r="F62" s="117" t="s">
        <v>340</v>
      </c>
      <c r="G62" s="116"/>
      <c r="H62" s="116"/>
      <c r="I62" s="118"/>
      <c r="J62" s="5" t="s">
        <v>110</v>
      </c>
      <c r="K62" s="5">
        <v>1</v>
      </c>
      <c r="L62" s="5" t="s">
        <v>110</v>
      </c>
      <c r="M62" s="5">
        <v>1</v>
      </c>
      <c r="N62" s="7" t="s">
        <v>115</v>
      </c>
      <c r="O62" s="7">
        <v>1</v>
      </c>
      <c r="P62" s="5" t="s">
        <v>111</v>
      </c>
      <c r="Q62" s="5"/>
      <c r="R62" s="5" t="s">
        <v>112</v>
      </c>
      <c r="S62" s="5">
        <v>5</v>
      </c>
      <c r="T62" s="5" t="s">
        <v>218</v>
      </c>
      <c r="U62" s="41" t="s">
        <v>219</v>
      </c>
      <c r="V62" s="175"/>
      <c r="W62" s="174">
        <v>45950</v>
      </c>
      <c r="X62" s="174">
        <v>45954</v>
      </c>
      <c r="Y62" s="41"/>
      <c r="Z62" s="3" t="s">
        <v>220</v>
      </c>
      <c r="AA62" s="3" t="s">
        <v>501</v>
      </c>
      <c r="AB62" s="3" t="s">
        <v>118</v>
      </c>
      <c r="AC62" s="3" t="s">
        <v>502</v>
      </c>
      <c r="AD62" s="3"/>
      <c r="AE62" s="3"/>
      <c r="AF62" s="12">
        <f t="shared" si="0"/>
        <v>72</v>
      </c>
      <c r="AG62" s="7">
        <v>80</v>
      </c>
      <c r="AH62" s="7"/>
      <c r="AI62" s="7">
        <v>80</v>
      </c>
      <c r="AJ62" s="7"/>
      <c r="AK62" s="7">
        <v>40</v>
      </c>
      <c r="AL62" s="7"/>
      <c r="AM62" s="7">
        <v>80</v>
      </c>
      <c r="AN62" s="7"/>
      <c r="AO62" s="63">
        <v>5.8</v>
      </c>
      <c r="AP62" s="58">
        <v>1600</v>
      </c>
      <c r="AQ62" s="58">
        <v>320</v>
      </c>
      <c r="AR62" s="58">
        <v>320</v>
      </c>
      <c r="AS62" s="30">
        <v>14848</v>
      </c>
      <c r="AT62" s="30">
        <v>9280</v>
      </c>
      <c r="AU62" s="30">
        <v>14848</v>
      </c>
      <c r="AV62" s="197">
        <v>14848</v>
      </c>
      <c r="AW62" s="197">
        <v>9280</v>
      </c>
      <c r="AX62" s="197">
        <v>14848</v>
      </c>
      <c r="AY62" s="203"/>
      <c r="AZ62" s="203"/>
      <c r="BA62" s="203"/>
      <c r="BB62" s="5" t="s">
        <v>503</v>
      </c>
      <c r="BC62" s="191"/>
      <c r="BD62" s="189">
        <v>3</v>
      </c>
      <c r="BE62" s="30" t="s">
        <v>504</v>
      </c>
      <c r="BF62" s="186"/>
      <c r="BG62" s="183"/>
      <c r="BH62" s="183"/>
    </row>
    <row r="63" spans="1:60" ht="30" hidden="1" customHeight="1">
      <c r="A63" s="5" t="s">
        <v>505</v>
      </c>
      <c r="B63" s="116" t="s">
        <v>506</v>
      </c>
      <c r="C63" s="116">
        <v>2025</v>
      </c>
      <c r="D63" s="116" t="s">
        <v>507</v>
      </c>
      <c r="E63" s="117" t="s">
        <v>216</v>
      </c>
      <c r="F63" s="117" t="s">
        <v>217</v>
      </c>
      <c r="G63" s="116" t="s">
        <v>508</v>
      </c>
      <c r="H63" s="116"/>
      <c r="I63" s="117" t="s">
        <v>311</v>
      </c>
      <c r="J63" s="5"/>
      <c r="K63" s="5"/>
      <c r="L63" s="5" t="s">
        <v>110</v>
      </c>
      <c r="M63" s="5">
        <v>1</v>
      </c>
      <c r="N63" s="7" t="s">
        <v>115</v>
      </c>
      <c r="O63" s="7">
        <v>1</v>
      </c>
      <c r="P63" s="5" t="s">
        <v>303</v>
      </c>
      <c r="Q63" s="5">
        <v>1</v>
      </c>
      <c r="R63" s="5" t="s">
        <v>112</v>
      </c>
      <c r="S63" s="5">
        <v>3</v>
      </c>
      <c r="T63" s="5" t="s">
        <v>304</v>
      </c>
      <c r="U63" s="5" t="s">
        <v>305</v>
      </c>
      <c r="V63" s="5" t="s">
        <v>115</v>
      </c>
      <c r="W63" s="175">
        <v>45733</v>
      </c>
      <c r="X63" s="175">
        <v>45735</v>
      </c>
      <c r="Y63" s="5"/>
      <c r="Z63" s="3"/>
      <c r="AA63" s="2"/>
      <c r="AB63" s="3"/>
      <c r="AC63" s="3"/>
      <c r="AD63" s="50"/>
      <c r="AE63" s="50"/>
      <c r="AF63" s="12">
        <f t="shared" si="0"/>
        <v>0</v>
      </c>
      <c r="AG63" s="7"/>
      <c r="AH63" s="7"/>
      <c r="AI63" s="7"/>
      <c r="AJ63" s="7"/>
      <c r="AK63" s="7"/>
      <c r="AL63" s="7"/>
      <c r="AM63" s="7"/>
      <c r="AN63" s="7"/>
      <c r="AO63" s="63">
        <v>5.8</v>
      </c>
      <c r="AP63" s="58">
        <v>800</v>
      </c>
      <c r="AQ63" s="58">
        <v>280</v>
      </c>
      <c r="AR63" s="58">
        <v>280</v>
      </c>
      <c r="AS63" s="30"/>
      <c r="AT63" s="30"/>
      <c r="AU63" s="30">
        <v>0</v>
      </c>
      <c r="AV63" s="197"/>
      <c r="AW63" s="197"/>
      <c r="AX63" s="197"/>
      <c r="AY63" s="202">
        <v>2782.85</v>
      </c>
      <c r="AZ63" s="202">
        <v>2848.02</v>
      </c>
      <c r="BA63" s="202">
        <f>2782.85+2848.02</f>
        <v>5630.87</v>
      </c>
      <c r="BB63" s="5" t="s">
        <v>509</v>
      </c>
      <c r="BC63" s="189" t="s">
        <v>510</v>
      </c>
      <c r="BD63" s="114"/>
      <c r="BE63" s="30"/>
      <c r="BF63" s="186"/>
      <c r="BG63" s="183"/>
      <c r="BH63" s="183"/>
    </row>
    <row r="64" spans="1:60" ht="30" hidden="1" customHeight="1">
      <c r="A64" s="5" t="s">
        <v>228</v>
      </c>
      <c r="B64" s="119" t="s">
        <v>511</v>
      </c>
      <c r="C64" s="119" t="s">
        <v>228</v>
      </c>
      <c r="D64" s="118" t="s">
        <v>512</v>
      </c>
      <c r="E64" s="117" t="s">
        <v>216</v>
      </c>
      <c r="F64" s="117" t="s">
        <v>217</v>
      </c>
      <c r="G64" s="119" t="s">
        <v>513</v>
      </c>
      <c r="H64" s="119"/>
      <c r="I64" s="117" t="s">
        <v>109</v>
      </c>
      <c r="J64" s="5" t="s">
        <v>110</v>
      </c>
      <c r="K64" s="5">
        <v>1</v>
      </c>
      <c r="L64" s="5" t="s">
        <v>110</v>
      </c>
      <c r="M64" s="5">
        <v>1</v>
      </c>
      <c r="N64" s="7"/>
      <c r="O64" s="7"/>
      <c r="P64" s="5" t="s">
        <v>111</v>
      </c>
      <c r="Q64" s="5">
        <v>1</v>
      </c>
      <c r="R64" s="5" t="s">
        <v>112</v>
      </c>
      <c r="S64" s="5">
        <v>5</v>
      </c>
      <c r="T64" s="5" t="s">
        <v>514</v>
      </c>
      <c r="U64" s="5" t="s">
        <v>515</v>
      </c>
      <c r="V64" s="5"/>
      <c r="W64" s="175">
        <v>45738</v>
      </c>
      <c r="X64" s="175">
        <v>45745</v>
      </c>
      <c r="Y64" s="5" t="s">
        <v>115</v>
      </c>
      <c r="Z64" s="3" t="s">
        <v>141</v>
      </c>
      <c r="AA64" s="3" t="s">
        <v>516</v>
      </c>
      <c r="AB64" s="3" t="s">
        <v>517</v>
      </c>
      <c r="AC64" s="3" t="s">
        <v>518</v>
      </c>
      <c r="AD64" s="42"/>
      <c r="AE64" s="42"/>
      <c r="AF64" s="38">
        <f t="shared" si="0"/>
        <v>72</v>
      </c>
      <c r="AG64" s="7">
        <v>80</v>
      </c>
      <c r="AH64" s="7"/>
      <c r="AI64" s="7">
        <v>40</v>
      </c>
      <c r="AJ64" s="7"/>
      <c r="AK64" s="7">
        <v>100</v>
      </c>
      <c r="AL64" s="7"/>
      <c r="AM64" s="7">
        <v>80</v>
      </c>
      <c r="AN64" s="7"/>
      <c r="AO64" s="63">
        <v>5.8</v>
      </c>
      <c r="AP64" s="58">
        <v>1600</v>
      </c>
      <c r="AQ64" s="58">
        <v>420</v>
      </c>
      <c r="AR64" s="58">
        <v>420</v>
      </c>
      <c r="AS64" s="30">
        <v>19488</v>
      </c>
      <c r="AT64" s="30"/>
      <c r="AU64" s="30">
        <v>19488</v>
      </c>
      <c r="AV64" s="197">
        <v>19488</v>
      </c>
      <c r="AW64" s="197"/>
      <c r="AX64" s="197">
        <v>19488</v>
      </c>
      <c r="AY64" s="202">
        <f>15677.77+907.97</f>
        <v>16585.740000000002</v>
      </c>
      <c r="AZ64" s="202">
        <v>12153.03</v>
      </c>
      <c r="BA64" s="202">
        <f>15677.77+907.97</f>
        <v>16585.740000000002</v>
      </c>
      <c r="BB64" s="5" t="s">
        <v>519</v>
      </c>
      <c r="BC64" s="189" t="s">
        <v>520</v>
      </c>
      <c r="BD64" s="189">
        <v>3</v>
      </c>
      <c r="BE64" s="30" t="s">
        <v>521</v>
      </c>
      <c r="BF64" s="186"/>
      <c r="BG64" s="183"/>
      <c r="BH64" s="183"/>
    </row>
    <row r="65" spans="1:60" ht="30" hidden="1" customHeight="1">
      <c r="A65" s="5" t="s">
        <v>228</v>
      </c>
      <c r="B65" s="119" t="s">
        <v>511</v>
      </c>
      <c r="C65" s="119" t="s">
        <v>228</v>
      </c>
      <c r="D65" s="118" t="s">
        <v>512</v>
      </c>
      <c r="E65" s="117" t="s">
        <v>216</v>
      </c>
      <c r="F65" s="117" t="s">
        <v>217</v>
      </c>
      <c r="G65" s="119" t="s">
        <v>513</v>
      </c>
      <c r="H65" s="119"/>
      <c r="I65" s="117" t="s">
        <v>109</v>
      </c>
      <c r="J65" s="5" t="s">
        <v>110</v>
      </c>
      <c r="K65" s="5">
        <v>1</v>
      </c>
      <c r="L65" s="5" t="s">
        <v>110</v>
      </c>
      <c r="M65" s="5">
        <v>1</v>
      </c>
      <c r="N65" s="7"/>
      <c r="O65" s="7"/>
      <c r="P65" s="5" t="s">
        <v>111</v>
      </c>
      <c r="Q65" s="5">
        <v>1</v>
      </c>
      <c r="R65" s="5" t="s">
        <v>112</v>
      </c>
      <c r="S65" s="5">
        <v>5</v>
      </c>
      <c r="T65" s="5" t="s">
        <v>514</v>
      </c>
      <c r="U65" s="5" t="s">
        <v>515</v>
      </c>
      <c r="V65" s="5"/>
      <c r="W65" s="175">
        <v>45738</v>
      </c>
      <c r="X65" s="175">
        <v>45745</v>
      </c>
      <c r="Y65" s="5" t="s">
        <v>115</v>
      </c>
      <c r="Z65" s="3" t="s">
        <v>141</v>
      </c>
      <c r="AA65" s="3" t="s">
        <v>516</v>
      </c>
      <c r="AB65" s="3" t="s">
        <v>517</v>
      </c>
      <c r="AC65" s="3" t="s">
        <v>518</v>
      </c>
      <c r="AD65" s="42"/>
      <c r="AE65" s="42"/>
      <c r="AF65" s="38">
        <f t="shared" si="0"/>
        <v>72</v>
      </c>
      <c r="AG65" s="7">
        <v>80</v>
      </c>
      <c r="AH65" s="7"/>
      <c r="AI65" s="7">
        <v>40</v>
      </c>
      <c r="AJ65" s="7"/>
      <c r="AK65" s="7">
        <v>100</v>
      </c>
      <c r="AL65" s="7"/>
      <c r="AM65" s="7">
        <v>80</v>
      </c>
      <c r="AN65" s="7"/>
      <c r="AO65" s="63">
        <v>5.8</v>
      </c>
      <c r="AP65" s="58">
        <v>1600</v>
      </c>
      <c r="AQ65" s="58">
        <v>420</v>
      </c>
      <c r="AR65" s="58">
        <v>420</v>
      </c>
      <c r="AS65" s="30">
        <v>19488</v>
      </c>
      <c r="AT65" s="30"/>
      <c r="AU65" s="30">
        <v>19488</v>
      </c>
      <c r="AV65" s="197">
        <v>19488</v>
      </c>
      <c r="AW65" s="197"/>
      <c r="AX65" s="197">
        <v>19488</v>
      </c>
      <c r="AY65" s="202">
        <f>15642.47+997.97</f>
        <v>16640.439999999999</v>
      </c>
      <c r="AZ65" s="202">
        <v>9425.9</v>
      </c>
      <c r="BA65" s="202">
        <f>15642.47+997.97</f>
        <v>16640.439999999999</v>
      </c>
      <c r="BB65" s="5" t="s">
        <v>522</v>
      </c>
      <c r="BC65" s="189" t="s">
        <v>520</v>
      </c>
      <c r="BD65" s="189">
        <v>3</v>
      </c>
      <c r="BE65" s="30" t="s">
        <v>521</v>
      </c>
      <c r="BF65" s="186"/>
      <c r="BG65" s="183"/>
      <c r="BH65" s="183"/>
    </row>
    <row r="66" spans="1:60" ht="30" hidden="1" customHeight="1">
      <c r="A66" s="5" t="s">
        <v>228</v>
      </c>
      <c r="B66" s="120" t="s">
        <v>523</v>
      </c>
      <c r="C66" s="116">
        <v>2025</v>
      </c>
      <c r="D66" s="116"/>
      <c r="E66" s="117" t="s">
        <v>339</v>
      </c>
      <c r="F66" s="117" t="s">
        <v>340</v>
      </c>
      <c r="G66" s="121"/>
      <c r="H66" s="121"/>
      <c r="I66" s="5"/>
      <c r="J66" s="5" t="s">
        <v>178</v>
      </c>
      <c r="K66" s="5">
        <v>1</v>
      </c>
      <c r="L66" s="5" t="s">
        <v>178</v>
      </c>
      <c r="M66" s="5">
        <v>1</v>
      </c>
      <c r="N66" s="7" t="s">
        <v>115</v>
      </c>
      <c r="O66" s="7">
        <v>1</v>
      </c>
      <c r="P66" s="5" t="s">
        <v>179</v>
      </c>
      <c r="Q66" s="5"/>
      <c r="R66" s="5" t="s">
        <v>112</v>
      </c>
      <c r="S66" s="5">
        <v>2</v>
      </c>
      <c r="T66" s="5" t="s">
        <v>232</v>
      </c>
      <c r="U66" s="5"/>
      <c r="V66" s="5"/>
      <c r="W66" s="175">
        <v>45992</v>
      </c>
      <c r="X66" s="175">
        <v>45992</v>
      </c>
      <c r="Y66" s="5"/>
      <c r="Z66" s="3" t="s">
        <v>524</v>
      </c>
      <c r="AA66" s="3" t="s">
        <v>525</v>
      </c>
      <c r="AB66" s="3" t="s">
        <v>526</v>
      </c>
      <c r="AC66" s="3" t="s">
        <v>527</v>
      </c>
      <c r="AD66" s="3"/>
      <c r="AE66" s="3"/>
      <c r="AF66" s="12">
        <f t="shared" si="0"/>
        <v>64</v>
      </c>
      <c r="AG66" s="7">
        <v>60</v>
      </c>
      <c r="AH66" s="7"/>
      <c r="AI66" s="7">
        <v>80</v>
      </c>
      <c r="AJ66" s="7"/>
      <c r="AK66" s="7">
        <v>40</v>
      </c>
      <c r="AL66" s="7"/>
      <c r="AM66" s="7">
        <v>80</v>
      </c>
      <c r="AN66" s="7"/>
      <c r="AO66" s="63">
        <v>5.8</v>
      </c>
      <c r="AP66" s="58">
        <v>1600</v>
      </c>
      <c r="AQ66" s="58">
        <v>420</v>
      </c>
      <c r="AR66" s="58">
        <v>420</v>
      </c>
      <c r="AS66" s="30">
        <v>12180</v>
      </c>
      <c r="AT66" s="30">
        <v>9280</v>
      </c>
      <c r="AU66" s="30">
        <v>21460</v>
      </c>
      <c r="AV66" s="197">
        <v>12180</v>
      </c>
      <c r="AW66" s="197">
        <v>9280</v>
      </c>
      <c r="AX66" s="197">
        <v>21460</v>
      </c>
      <c r="AY66" s="202"/>
      <c r="AZ66" s="202"/>
      <c r="BA66" s="202">
        <v>0</v>
      </c>
      <c r="BB66" s="5" t="s">
        <v>528</v>
      </c>
      <c r="BC66" s="189"/>
      <c r="BD66" s="189">
        <v>3</v>
      </c>
      <c r="BE66" s="30"/>
      <c r="BF66" s="186"/>
      <c r="BG66" s="183"/>
      <c r="BH66" s="183"/>
    </row>
    <row r="67" spans="1:60" ht="30" hidden="1" customHeight="1">
      <c r="A67" s="5" t="s">
        <v>122</v>
      </c>
      <c r="B67" s="116" t="s">
        <v>529</v>
      </c>
      <c r="C67" s="116" t="s">
        <v>530</v>
      </c>
      <c r="D67" s="117" t="s">
        <v>531</v>
      </c>
      <c r="E67" s="117" t="s">
        <v>216</v>
      </c>
      <c r="F67" s="117" t="s">
        <v>340</v>
      </c>
      <c r="G67" s="116" t="s">
        <v>532</v>
      </c>
      <c r="H67" s="119"/>
      <c r="I67" s="117" t="s">
        <v>109</v>
      </c>
      <c r="J67" s="41" t="s">
        <v>110</v>
      </c>
      <c r="K67" s="5">
        <v>1</v>
      </c>
      <c r="L67" s="41" t="s">
        <v>110</v>
      </c>
      <c r="M67" s="5">
        <v>1</v>
      </c>
      <c r="N67" s="7" t="s">
        <v>115</v>
      </c>
      <c r="O67" s="7">
        <v>1</v>
      </c>
      <c r="P67" s="5" t="s">
        <v>111</v>
      </c>
      <c r="Q67" s="5">
        <v>1</v>
      </c>
      <c r="R67" s="5" t="s">
        <v>112</v>
      </c>
      <c r="S67" s="5">
        <v>4</v>
      </c>
      <c r="T67" s="5" t="s">
        <v>218</v>
      </c>
      <c r="U67" s="5" t="s">
        <v>219</v>
      </c>
      <c r="V67" s="5"/>
      <c r="W67" s="175">
        <v>45741</v>
      </c>
      <c r="X67" s="175">
        <v>45745</v>
      </c>
      <c r="Y67" s="5" t="s">
        <v>115</v>
      </c>
      <c r="Z67" s="3" t="s">
        <v>141</v>
      </c>
      <c r="AA67" s="3" t="s">
        <v>533</v>
      </c>
      <c r="AB67" s="3" t="s">
        <v>118</v>
      </c>
      <c r="AC67" s="3"/>
      <c r="AD67" s="3"/>
      <c r="AE67" s="3"/>
      <c r="AF67" s="12">
        <f t="shared" ref="AF67:AF129" si="1">AG67*$AG$2+AI67*$AI$2+AK67*$AK$2+AM67*$AM$2</f>
        <v>72</v>
      </c>
      <c r="AG67" s="7">
        <v>80</v>
      </c>
      <c r="AH67" s="7"/>
      <c r="AI67" s="7">
        <v>80</v>
      </c>
      <c r="AJ67" s="7" t="s">
        <v>534</v>
      </c>
      <c r="AK67" s="7">
        <v>40</v>
      </c>
      <c r="AL67" s="7"/>
      <c r="AM67" s="7">
        <v>80</v>
      </c>
      <c r="AN67" s="7"/>
      <c r="AO67" s="63">
        <v>5.8</v>
      </c>
      <c r="AP67" s="58">
        <v>1600</v>
      </c>
      <c r="AQ67" s="58">
        <v>320</v>
      </c>
      <c r="AR67" s="58">
        <v>320</v>
      </c>
      <c r="AS67" s="30">
        <v>12992</v>
      </c>
      <c r="AT67" s="30"/>
      <c r="AU67" s="30">
        <v>12992</v>
      </c>
      <c r="AV67" s="197">
        <v>12992</v>
      </c>
      <c r="AW67" s="197"/>
      <c r="AX67" s="197">
        <v>12992</v>
      </c>
      <c r="AY67" s="202">
        <v>10933.86</v>
      </c>
      <c r="AZ67" s="202">
        <v>8358.02</v>
      </c>
      <c r="BA67" s="202">
        <v>10933.86</v>
      </c>
      <c r="BB67" s="5" t="s">
        <v>535</v>
      </c>
      <c r="BC67" s="189" t="s">
        <v>536</v>
      </c>
      <c r="BD67" s="189">
        <v>3</v>
      </c>
      <c r="BE67" s="30" t="s">
        <v>537</v>
      </c>
      <c r="BF67" s="186"/>
      <c r="BG67" s="183"/>
      <c r="BH67" s="183"/>
    </row>
    <row r="68" spans="1:60" ht="30" hidden="1" customHeight="1">
      <c r="A68" s="5" t="s">
        <v>122</v>
      </c>
      <c r="B68" s="119" t="s">
        <v>538</v>
      </c>
      <c r="C68" s="119"/>
      <c r="D68" s="116" t="s">
        <v>539</v>
      </c>
      <c r="E68" s="117" t="s">
        <v>126</v>
      </c>
      <c r="F68" s="117" t="s">
        <v>293</v>
      </c>
      <c r="G68" s="119" t="s">
        <v>540</v>
      </c>
      <c r="H68" s="119"/>
      <c r="I68" s="118" t="s">
        <v>129</v>
      </c>
      <c r="J68" s="41"/>
      <c r="K68" s="5"/>
      <c r="L68" s="41" t="s">
        <v>110</v>
      </c>
      <c r="M68" s="5"/>
      <c r="N68" s="7" t="s">
        <v>115</v>
      </c>
      <c r="O68" s="7">
        <v>1</v>
      </c>
      <c r="P68" s="5" t="s">
        <v>303</v>
      </c>
      <c r="Q68" s="5">
        <v>1</v>
      </c>
      <c r="R68" s="5" t="s">
        <v>112</v>
      </c>
      <c r="S68" s="5">
        <v>11</v>
      </c>
      <c r="T68" s="5" t="s">
        <v>411</v>
      </c>
      <c r="U68" s="5" t="s">
        <v>541</v>
      </c>
      <c r="V68" s="5" t="s">
        <v>115</v>
      </c>
      <c r="W68" s="175">
        <v>45741</v>
      </c>
      <c r="X68" s="175">
        <v>45751</v>
      </c>
      <c r="Y68" s="5"/>
      <c r="Z68" s="3" t="s">
        <v>306</v>
      </c>
      <c r="AA68" s="2"/>
      <c r="AB68" s="3"/>
      <c r="AC68" s="3"/>
      <c r="AD68" s="51"/>
      <c r="AE68" s="51"/>
      <c r="AF68" s="38">
        <f t="shared" si="1"/>
        <v>56</v>
      </c>
      <c r="AG68" s="7">
        <v>40</v>
      </c>
      <c r="AH68" s="7"/>
      <c r="AI68" s="7">
        <v>40</v>
      </c>
      <c r="AJ68" s="7"/>
      <c r="AK68" s="7">
        <v>100</v>
      </c>
      <c r="AL68" s="7"/>
      <c r="AM68" s="7">
        <v>80</v>
      </c>
      <c r="AN68" s="7"/>
      <c r="AO68" s="63">
        <v>5.8</v>
      </c>
      <c r="AP68" s="58">
        <v>0</v>
      </c>
      <c r="AQ68" s="58">
        <v>0</v>
      </c>
      <c r="AR68" s="58">
        <v>0</v>
      </c>
      <c r="AS68" s="30"/>
      <c r="AT68" s="30"/>
      <c r="AU68" s="30">
        <v>0</v>
      </c>
      <c r="AV68" s="197">
        <v>0</v>
      </c>
      <c r="AW68" s="197">
        <v>0</v>
      </c>
      <c r="AX68" s="197">
        <v>0</v>
      </c>
      <c r="AY68" s="202"/>
      <c r="AZ68" s="202">
        <v>1202.55</v>
      </c>
      <c r="BA68" s="202">
        <v>1202.55</v>
      </c>
      <c r="BB68" s="5" t="s">
        <v>542</v>
      </c>
      <c r="BC68" s="189" t="s">
        <v>543</v>
      </c>
      <c r="BD68" s="114"/>
      <c r="BE68" s="30"/>
      <c r="BF68" s="186"/>
      <c r="BG68" s="183"/>
      <c r="BH68" s="183"/>
    </row>
    <row r="69" spans="1:60" ht="30" hidden="1" customHeight="1">
      <c r="A69" s="5" t="s">
        <v>248</v>
      </c>
      <c r="B69" s="116" t="s">
        <v>544</v>
      </c>
      <c r="C69" s="116" t="s">
        <v>545</v>
      </c>
      <c r="D69" s="116" t="s">
        <v>546</v>
      </c>
      <c r="E69" s="117" t="s">
        <v>126</v>
      </c>
      <c r="F69" s="117" t="s">
        <v>293</v>
      </c>
      <c r="G69" s="116" t="s">
        <v>547</v>
      </c>
      <c r="H69" s="116"/>
      <c r="I69" s="117" t="s">
        <v>129</v>
      </c>
      <c r="J69" s="5"/>
      <c r="K69" s="5"/>
      <c r="L69" s="5" t="s">
        <v>110</v>
      </c>
      <c r="M69" s="5">
        <v>0</v>
      </c>
      <c r="N69" s="7" t="s">
        <v>115</v>
      </c>
      <c r="O69" s="7">
        <v>0</v>
      </c>
      <c r="P69" s="5" t="s">
        <v>303</v>
      </c>
      <c r="Q69" s="5">
        <v>1</v>
      </c>
      <c r="R69" s="5" t="s">
        <v>112</v>
      </c>
      <c r="S69" s="5">
        <v>5</v>
      </c>
      <c r="T69" s="5" t="s">
        <v>545</v>
      </c>
      <c r="U69" s="5" t="s">
        <v>548</v>
      </c>
      <c r="V69" s="5" t="s">
        <v>115</v>
      </c>
      <c r="W69" s="175">
        <v>45747</v>
      </c>
      <c r="X69" s="175">
        <v>45751</v>
      </c>
      <c r="Y69" s="5"/>
      <c r="Z69" s="3"/>
      <c r="AA69" s="3"/>
      <c r="AB69" s="3"/>
      <c r="AC69" s="3"/>
      <c r="AD69" s="3"/>
      <c r="AE69" s="3"/>
      <c r="AF69" s="12">
        <f t="shared" si="1"/>
        <v>56</v>
      </c>
      <c r="AG69" s="7">
        <v>40</v>
      </c>
      <c r="AH69" s="7"/>
      <c r="AI69" s="7">
        <v>40</v>
      </c>
      <c r="AJ69" s="7"/>
      <c r="AK69" s="7">
        <v>100</v>
      </c>
      <c r="AL69" s="7"/>
      <c r="AM69" s="7">
        <v>80</v>
      </c>
      <c r="AN69" s="7"/>
      <c r="AO69" s="63">
        <v>5.8</v>
      </c>
      <c r="AP69" s="58">
        <v>1600</v>
      </c>
      <c r="AQ69" s="58">
        <f>AVERAGE(200,170)</f>
        <v>185</v>
      </c>
      <c r="AR69" s="58">
        <v>200</v>
      </c>
      <c r="AS69" s="30">
        <v>0</v>
      </c>
      <c r="AT69" s="30">
        <v>0</v>
      </c>
      <c r="AU69" s="30">
        <v>0</v>
      </c>
      <c r="AV69" s="197">
        <v>0</v>
      </c>
      <c r="AW69" s="197">
        <v>0</v>
      </c>
      <c r="AX69" s="197">
        <v>0</v>
      </c>
      <c r="AY69" s="202"/>
      <c r="AZ69" s="202">
        <v>568.91</v>
      </c>
      <c r="BA69" s="202">
        <v>568.91</v>
      </c>
      <c r="BB69" s="5" t="s">
        <v>549</v>
      </c>
      <c r="BC69" s="189" t="s">
        <v>550</v>
      </c>
      <c r="BD69" s="189">
        <v>2</v>
      </c>
      <c r="BE69" s="30"/>
      <c r="BF69" s="186"/>
      <c r="BG69" s="183"/>
      <c r="BH69" s="183"/>
    </row>
    <row r="70" spans="1:60" ht="30" hidden="1" customHeight="1">
      <c r="A70" s="115" t="s">
        <v>551</v>
      </c>
      <c r="B70" s="116" t="s">
        <v>552</v>
      </c>
      <c r="C70" s="116">
        <v>2025</v>
      </c>
      <c r="D70" s="116" t="s">
        <v>553</v>
      </c>
      <c r="E70" s="117" t="s">
        <v>434</v>
      </c>
      <c r="F70" s="117" t="s">
        <v>166</v>
      </c>
      <c r="G70" s="116" t="s">
        <v>554</v>
      </c>
      <c r="H70" s="119"/>
      <c r="I70" s="118" t="s">
        <v>129</v>
      </c>
      <c r="J70" s="41"/>
      <c r="K70" s="5"/>
      <c r="L70" s="41" t="s">
        <v>110</v>
      </c>
      <c r="M70" s="41">
        <v>0</v>
      </c>
      <c r="N70" s="39"/>
      <c r="O70" s="39"/>
      <c r="P70" s="41" t="s">
        <v>303</v>
      </c>
      <c r="Q70" s="41">
        <v>0</v>
      </c>
      <c r="R70" s="41" t="s">
        <v>112</v>
      </c>
      <c r="S70" s="5"/>
      <c r="T70" s="41" t="s">
        <v>555</v>
      </c>
      <c r="U70" s="41" t="s">
        <v>555</v>
      </c>
      <c r="V70" s="5"/>
      <c r="W70" s="174">
        <v>45749</v>
      </c>
      <c r="X70" s="174">
        <v>45750</v>
      </c>
      <c r="Y70" s="41"/>
      <c r="Z70" s="3"/>
      <c r="AA70" s="2"/>
      <c r="AB70" s="3"/>
      <c r="AC70" s="3"/>
      <c r="AD70" s="50"/>
      <c r="AE70" s="50"/>
      <c r="AF70" s="12">
        <f t="shared" si="1"/>
        <v>0</v>
      </c>
      <c r="AG70" s="7"/>
      <c r="AH70" s="7"/>
      <c r="AI70" s="7"/>
      <c r="AJ70" s="7"/>
      <c r="AK70" s="7"/>
      <c r="AL70" s="7"/>
      <c r="AM70" s="7"/>
      <c r="AN70" s="7"/>
      <c r="AO70" s="63">
        <v>5.8</v>
      </c>
      <c r="AP70" s="58"/>
      <c r="AQ70" s="58"/>
      <c r="AR70" s="58"/>
      <c r="AS70" s="30"/>
      <c r="AT70" s="30"/>
      <c r="AU70" s="30"/>
      <c r="AV70" s="199"/>
      <c r="AW70" s="199"/>
      <c r="AX70" s="199"/>
      <c r="AY70" s="203">
        <v>0</v>
      </c>
      <c r="AZ70" s="203">
        <v>0</v>
      </c>
      <c r="BA70" s="203">
        <v>0</v>
      </c>
      <c r="BB70" s="41" t="s">
        <v>556</v>
      </c>
      <c r="BC70" s="41" t="s">
        <v>557</v>
      </c>
      <c r="BD70" s="193"/>
      <c r="BE70" s="30"/>
      <c r="BF70" s="186"/>
      <c r="BG70" s="183"/>
      <c r="BH70" s="183"/>
    </row>
    <row r="71" spans="1:60" ht="30" hidden="1" customHeight="1">
      <c r="A71" s="41" t="s">
        <v>558</v>
      </c>
      <c r="B71" s="116" t="s">
        <v>559</v>
      </c>
      <c r="C71" s="116">
        <v>2025</v>
      </c>
      <c r="D71" s="116" t="s">
        <v>553</v>
      </c>
      <c r="E71" s="117" t="s">
        <v>434</v>
      </c>
      <c r="F71" s="117" t="s">
        <v>166</v>
      </c>
      <c r="G71" s="116"/>
      <c r="H71" s="119"/>
      <c r="I71" s="118" t="s">
        <v>129</v>
      </c>
      <c r="J71" s="41" t="s">
        <v>110</v>
      </c>
      <c r="K71" s="41">
        <v>1</v>
      </c>
      <c r="L71" s="41" t="s">
        <v>110</v>
      </c>
      <c r="M71" s="41">
        <v>1</v>
      </c>
      <c r="N71" s="39" t="s">
        <v>115</v>
      </c>
      <c r="O71" s="39">
        <v>1</v>
      </c>
      <c r="P71" s="5" t="s">
        <v>111</v>
      </c>
      <c r="Q71" s="41">
        <v>1</v>
      </c>
      <c r="R71" s="5" t="s">
        <v>112</v>
      </c>
      <c r="S71" s="41">
        <v>3</v>
      </c>
      <c r="T71" s="41" t="s">
        <v>555</v>
      </c>
      <c r="U71" s="41" t="s">
        <v>555</v>
      </c>
      <c r="V71" s="41" t="s">
        <v>115</v>
      </c>
      <c r="W71" s="174">
        <v>45749</v>
      </c>
      <c r="X71" s="174">
        <v>45750</v>
      </c>
      <c r="Y71" s="41"/>
      <c r="Z71" s="3" t="s">
        <v>524</v>
      </c>
      <c r="AA71" s="2" t="s">
        <v>560</v>
      </c>
      <c r="AB71" s="3" t="s">
        <v>561</v>
      </c>
      <c r="AC71" s="42" t="s">
        <v>562</v>
      </c>
      <c r="AD71" s="51"/>
      <c r="AE71" s="51"/>
      <c r="AF71" s="12">
        <f t="shared" si="1"/>
        <v>66</v>
      </c>
      <c r="AG71" s="7">
        <v>60</v>
      </c>
      <c r="AH71" s="7"/>
      <c r="AI71" s="7">
        <v>80</v>
      </c>
      <c r="AJ71" s="7" t="s">
        <v>563</v>
      </c>
      <c r="AK71" s="7">
        <v>60</v>
      </c>
      <c r="AL71" s="7" t="s">
        <v>564</v>
      </c>
      <c r="AM71" s="7">
        <v>60</v>
      </c>
      <c r="AN71" s="7" t="s">
        <v>565</v>
      </c>
      <c r="AO71" s="63">
        <v>5.8</v>
      </c>
      <c r="AP71" s="58">
        <v>800</v>
      </c>
      <c r="AQ71" s="58">
        <v>460</v>
      </c>
      <c r="AR71" s="58">
        <v>460</v>
      </c>
      <c r="AS71" s="30">
        <v>13340</v>
      </c>
      <c r="AT71" s="30">
        <v>4640</v>
      </c>
      <c r="AU71" s="30">
        <v>17980</v>
      </c>
      <c r="AV71" s="197">
        <v>13340</v>
      </c>
      <c r="AW71" s="197">
        <v>4640</v>
      </c>
      <c r="AX71" s="197">
        <v>17980</v>
      </c>
      <c r="AY71" s="203">
        <v>14242.95</v>
      </c>
      <c r="AZ71" s="203">
        <v>10994.81</v>
      </c>
      <c r="BA71" s="203">
        <v>10994.81</v>
      </c>
      <c r="BB71" s="41" t="s">
        <v>556</v>
      </c>
      <c r="BC71" s="41" t="s">
        <v>557</v>
      </c>
      <c r="BD71" s="190">
        <v>2</v>
      </c>
      <c r="BE71" s="30"/>
      <c r="BF71" s="186"/>
      <c r="BG71" s="183"/>
      <c r="BH71" s="183"/>
    </row>
    <row r="72" spans="1:60" ht="30" hidden="1" customHeight="1">
      <c r="A72" s="41" t="s">
        <v>391</v>
      </c>
      <c r="B72" s="116" t="s">
        <v>566</v>
      </c>
      <c r="C72" s="116" t="s">
        <v>567</v>
      </c>
      <c r="D72" s="116" t="s">
        <v>568</v>
      </c>
      <c r="E72" s="117" t="s">
        <v>216</v>
      </c>
      <c r="F72" s="117" t="s">
        <v>217</v>
      </c>
      <c r="G72" s="116" t="s">
        <v>569</v>
      </c>
      <c r="H72" s="119"/>
      <c r="I72" s="118" t="s">
        <v>129</v>
      </c>
      <c r="J72" s="41" t="s">
        <v>110</v>
      </c>
      <c r="K72" s="41">
        <v>3</v>
      </c>
      <c r="L72" s="41" t="s">
        <v>178</v>
      </c>
      <c r="M72" s="41">
        <v>3</v>
      </c>
      <c r="N72" s="39" t="s">
        <v>115</v>
      </c>
      <c r="O72" s="39">
        <v>1</v>
      </c>
      <c r="P72" s="5" t="s">
        <v>179</v>
      </c>
      <c r="Q72" s="41">
        <v>1</v>
      </c>
      <c r="R72" s="5" t="s">
        <v>112</v>
      </c>
      <c r="S72" s="41">
        <v>3</v>
      </c>
      <c r="T72" s="5" t="s">
        <v>218</v>
      </c>
      <c r="U72" s="41" t="s">
        <v>219</v>
      </c>
      <c r="V72" s="41"/>
      <c r="W72" s="174">
        <v>45749</v>
      </c>
      <c r="X72" s="174">
        <v>45751</v>
      </c>
      <c r="Y72" s="41"/>
      <c r="Z72" s="42" t="s">
        <v>116</v>
      </c>
      <c r="AA72" s="42" t="s">
        <v>570</v>
      </c>
      <c r="AB72" s="42" t="s">
        <v>345</v>
      </c>
      <c r="AC72" s="42" t="s">
        <v>571</v>
      </c>
      <c r="AD72" s="42"/>
      <c r="AE72" s="42"/>
      <c r="AF72" s="12">
        <f t="shared" si="1"/>
        <v>64</v>
      </c>
      <c r="AG72" s="39">
        <v>60</v>
      </c>
      <c r="AH72" s="39"/>
      <c r="AI72" s="39">
        <v>80</v>
      </c>
      <c r="AJ72" s="39"/>
      <c r="AK72" s="39">
        <v>40</v>
      </c>
      <c r="AL72" s="39"/>
      <c r="AM72" s="39">
        <v>80</v>
      </c>
      <c r="AN72" s="39"/>
      <c r="AO72" s="63">
        <v>5.8</v>
      </c>
      <c r="AP72" s="58">
        <v>1600</v>
      </c>
      <c r="AQ72" s="58">
        <v>420</v>
      </c>
      <c r="AR72" s="58">
        <v>420</v>
      </c>
      <c r="AS72" s="30">
        <v>43848</v>
      </c>
      <c r="AT72" s="30">
        <v>27840</v>
      </c>
      <c r="AU72" s="30">
        <v>71688</v>
      </c>
      <c r="AV72" s="197">
        <v>43848</v>
      </c>
      <c r="AW72" s="197">
        <v>27840</v>
      </c>
      <c r="AX72" s="197">
        <v>71688</v>
      </c>
      <c r="AY72" s="203">
        <v>9863.32</v>
      </c>
      <c r="AZ72" s="203">
        <v>8121.97</v>
      </c>
      <c r="BA72" s="203">
        <f>9863.32+8121.97</f>
        <v>17985.29</v>
      </c>
      <c r="BB72" s="41" t="s">
        <v>572</v>
      </c>
      <c r="BC72" s="191" t="s">
        <v>573</v>
      </c>
      <c r="BD72" s="189">
        <v>3</v>
      </c>
      <c r="BE72" s="30" t="s">
        <v>574</v>
      </c>
      <c r="BF72" s="186"/>
      <c r="BG72" s="183"/>
      <c r="BH72" s="183"/>
    </row>
    <row r="73" spans="1:60" ht="30" hidden="1" customHeight="1">
      <c r="A73" s="41" t="s">
        <v>575</v>
      </c>
      <c r="B73" s="116" t="s">
        <v>576</v>
      </c>
      <c r="C73" s="116" t="s">
        <v>577</v>
      </c>
      <c r="D73" s="116" t="s">
        <v>578</v>
      </c>
      <c r="E73" s="117" t="s">
        <v>107</v>
      </c>
      <c r="F73" s="117" t="s">
        <v>108</v>
      </c>
      <c r="G73" s="116"/>
      <c r="H73" s="119"/>
      <c r="I73" s="118" t="s">
        <v>129</v>
      </c>
      <c r="J73" s="41" t="s">
        <v>110</v>
      </c>
      <c r="K73" s="41">
        <v>1</v>
      </c>
      <c r="L73" s="41" t="s">
        <v>110</v>
      </c>
      <c r="M73" s="41">
        <v>1</v>
      </c>
      <c r="N73" s="39"/>
      <c r="O73" s="39"/>
      <c r="P73" s="5" t="s">
        <v>111</v>
      </c>
      <c r="Q73" s="41">
        <v>1</v>
      </c>
      <c r="R73" s="41" t="s">
        <v>112</v>
      </c>
      <c r="S73" s="41">
        <v>4</v>
      </c>
      <c r="T73" s="5" t="s">
        <v>579</v>
      </c>
      <c r="U73" s="5" t="s">
        <v>580</v>
      </c>
      <c r="V73" s="5"/>
      <c r="W73" s="175">
        <v>45752</v>
      </c>
      <c r="X73" s="175">
        <v>45759</v>
      </c>
      <c r="Y73" s="5"/>
      <c r="Z73" s="3" t="s">
        <v>581</v>
      </c>
      <c r="AA73" s="2" t="s">
        <v>582</v>
      </c>
      <c r="AB73" s="3" t="s">
        <v>517</v>
      </c>
      <c r="AC73" s="3" t="s">
        <v>583</v>
      </c>
      <c r="AD73" s="50"/>
      <c r="AE73" s="50"/>
      <c r="AF73" s="12">
        <f t="shared" si="1"/>
        <v>80</v>
      </c>
      <c r="AG73" s="7">
        <v>100</v>
      </c>
      <c r="AH73" s="7"/>
      <c r="AI73" s="7">
        <v>40</v>
      </c>
      <c r="AJ73" s="7"/>
      <c r="AK73" s="7">
        <v>100</v>
      </c>
      <c r="AL73" s="7"/>
      <c r="AM73" s="7">
        <v>80</v>
      </c>
      <c r="AN73" s="7"/>
      <c r="AO73" s="63">
        <v>5.8</v>
      </c>
      <c r="AP73" s="58">
        <v>1600</v>
      </c>
      <c r="AQ73" s="58">
        <v>370</v>
      </c>
      <c r="AR73" s="58">
        <v>370</v>
      </c>
      <c r="AS73" s="30">
        <v>15022</v>
      </c>
      <c r="AT73" s="30">
        <v>9280</v>
      </c>
      <c r="AU73" s="30">
        <v>24302</v>
      </c>
      <c r="AV73" s="197">
        <v>15022</v>
      </c>
      <c r="AW73" s="197">
        <v>9280</v>
      </c>
      <c r="AX73" s="197">
        <v>24302</v>
      </c>
      <c r="AY73" s="203">
        <v>14533.81</v>
      </c>
      <c r="AZ73" s="203">
        <v>9635.92</v>
      </c>
      <c r="BA73" s="203">
        <f>14533.81+9635.92</f>
        <v>24169.73</v>
      </c>
      <c r="BB73" s="41" t="s">
        <v>584</v>
      </c>
      <c r="BC73" s="191" t="s">
        <v>585</v>
      </c>
      <c r="BD73" s="190">
        <v>3</v>
      </c>
      <c r="BE73" s="30"/>
      <c r="BF73" s="186"/>
      <c r="BG73" s="183"/>
      <c r="BH73" s="183"/>
    </row>
    <row r="74" spans="1:60" ht="30" hidden="1" customHeight="1">
      <c r="A74" s="41" t="s">
        <v>575</v>
      </c>
      <c r="B74" s="116" t="s">
        <v>576</v>
      </c>
      <c r="C74" s="116" t="s">
        <v>577</v>
      </c>
      <c r="D74" s="116" t="s">
        <v>578</v>
      </c>
      <c r="E74" s="117" t="s">
        <v>107</v>
      </c>
      <c r="F74" s="117" t="s">
        <v>108</v>
      </c>
      <c r="G74" s="116"/>
      <c r="H74" s="119"/>
      <c r="I74" s="118" t="s">
        <v>129</v>
      </c>
      <c r="J74" s="41" t="s">
        <v>110</v>
      </c>
      <c r="K74" s="41">
        <v>1</v>
      </c>
      <c r="L74" s="41" t="s">
        <v>110</v>
      </c>
      <c r="M74" s="41">
        <v>1</v>
      </c>
      <c r="N74" s="39"/>
      <c r="O74" s="39"/>
      <c r="P74" s="5" t="s">
        <v>111</v>
      </c>
      <c r="Q74" s="41">
        <v>1</v>
      </c>
      <c r="R74" s="41" t="s">
        <v>112</v>
      </c>
      <c r="S74" s="41">
        <v>4</v>
      </c>
      <c r="T74" s="5" t="s">
        <v>579</v>
      </c>
      <c r="U74" s="5" t="s">
        <v>580</v>
      </c>
      <c r="V74" s="5"/>
      <c r="W74" s="175">
        <v>45752</v>
      </c>
      <c r="X74" s="175">
        <v>45759</v>
      </c>
      <c r="Y74" s="5"/>
      <c r="Z74" s="3" t="s">
        <v>581</v>
      </c>
      <c r="AA74" s="2" t="s">
        <v>582</v>
      </c>
      <c r="AB74" s="3" t="s">
        <v>517</v>
      </c>
      <c r="AC74" s="3" t="s">
        <v>583</v>
      </c>
      <c r="AD74" s="50"/>
      <c r="AE74" s="50"/>
      <c r="AF74" s="12">
        <f t="shared" si="1"/>
        <v>80</v>
      </c>
      <c r="AG74" s="7">
        <v>100</v>
      </c>
      <c r="AH74" s="7"/>
      <c r="AI74" s="7">
        <v>40</v>
      </c>
      <c r="AJ74" s="7"/>
      <c r="AK74" s="7">
        <v>100</v>
      </c>
      <c r="AL74" s="7"/>
      <c r="AM74" s="7">
        <v>80</v>
      </c>
      <c r="AN74" s="7"/>
      <c r="AO74" s="63">
        <v>5.8</v>
      </c>
      <c r="AP74" s="58">
        <v>1600</v>
      </c>
      <c r="AQ74" s="58">
        <v>370</v>
      </c>
      <c r="AR74" s="58">
        <v>370</v>
      </c>
      <c r="AS74" s="30">
        <v>15022</v>
      </c>
      <c r="AT74" s="30">
        <v>9280</v>
      </c>
      <c r="AU74" s="30">
        <v>24302</v>
      </c>
      <c r="AV74" s="197">
        <v>15022</v>
      </c>
      <c r="AW74" s="197">
        <v>9280</v>
      </c>
      <c r="AX74" s="197">
        <v>24302</v>
      </c>
      <c r="AY74" s="203">
        <v>16618.43</v>
      </c>
      <c r="AZ74" s="203">
        <v>9617.8700000000008</v>
      </c>
      <c r="BA74" s="203">
        <f>9617.87+16618.43</f>
        <v>26236.300000000003</v>
      </c>
      <c r="BB74" s="41" t="s">
        <v>586</v>
      </c>
      <c r="BC74" s="191" t="s">
        <v>585</v>
      </c>
      <c r="BD74" s="190">
        <v>3</v>
      </c>
      <c r="BE74" s="30"/>
      <c r="BF74" s="186"/>
      <c r="BG74" s="183"/>
      <c r="BH74" s="183"/>
    </row>
    <row r="75" spans="1:60" ht="30" hidden="1" customHeight="1">
      <c r="A75" s="41" t="s">
        <v>122</v>
      </c>
      <c r="B75" s="116" t="s">
        <v>587</v>
      </c>
      <c r="C75" s="116" t="s">
        <v>588</v>
      </c>
      <c r="D75" s="116" t="s">
        <v>589</v>
      </c>
      <c r="E75" s="117" t="s">
        <v>126</v>
      </c>
      <c r="F75" s="118" t="s">
        <v>127</v>
      </c>
      <c r="G75" s="116" t="s">
        <v>590</v>
      </c>
      <c r="H75" s="119" t="s">
        <v>591</v>
      </c>
      <c r="I75" s="118" t="s">
        <v>341</v>
      </c>
      <c r="J75" s="41" t="s">
        <v>110</v>
      </c>
      <c r="K75" s="41">
        <v>2</v>
      </c>
      <c r="L75" s="41" t="s">
        <v>110</v>
      </c>
      <c r="M75" s="41">
        <v>1</v>
      </c>
      <c r="N75" s="39" t="s">
        <v>115</v>
      </c>
      <c r="O75" s="39">
        <v>1</v>
      </c>
      <c r="P75" s="5" t="s">
        <v>111</v>
      </c>
      <c r="Q75" s="41"/>
      <c r="R75" s="41" t="s">
        <v>112</v>
      </c>
      <c r="S75" s="41">
        <v>5</v>
      </c>
      <c r="T75" s="5" t="s">
        <v>218</v>
      </c>
      <c r="U75" s="41" t="s">
        <v>219</v>
      </c>
      <c r="V75" s="41"/>
      <c r="W75" s="174">
        <v>45754</v>
      </c>
      <c r="X75" s="174">
        <v>45756</v>
      </c>
      <c r="Y75" s="41"/>
      <c r="Z75" s="3" t="s">
        <v>116</v>
      </c>
      <c r="AA75" s="3" t="s">
        <v>592</v>
      </c>
      <c r="AB75" s="3" t="s">
        <v>118</v>
      </c>
      <c r="AC75" s="3" t="s">
        <v>132</v>
      </c>
      <c r="AD75" s="42"/>
      <c r="AE75" s="42"/>
      <c r="AF75" s="38">
        <f t="shared" si="1"/>
        <v>72</v>
      </c>
      <c r="AG75" s="7">
        <v>80</v>
      </c>
      <c r="AH75" s="7"/>
      <c r="AI75" s="7">
        <v>80</v>
      </c>
      <c r="AJ75" s="7" t="s">
        <v>133</v>
      </c>
      <c r="AK75" s="7">
        <v>40</v>
      </c>
      <c r="AL75" s="7"/>
      <c r="AM75" s="7">
        <v>80</v>
      </c>
      <c r="AN75" s="7"/>
      <c r="AO75" s="63">
        <v>5.8</v>
      </c>
      <c r="AP75" s="58">
        <v>1600</v>
      </c>
      <c r="AQ75" s="58">
        <v>310</v>
      </c>
      <c r="AR75" s="58">
        <v>310</v>
      </c>
      <c r="AS75" s="30">
        <v>28768</v>
      </c>
      <c r="AT75" s="30">
        <v>18560</v>
      </c>
      <c r="AU75" s="30">
        <v>47328</v>
      </c>
      <c r="AV75" s="197">
        <v>14384</v>
      </c>
      <c r="AW75" s="197">
        <v>9280</v>
      </c>
      <c r="AX75" s="197">
        <v>23664</v>
      </c>
      <c r="AY75" s="203"/>
      <c r="AZ75" s="203"/>
      <c r="BA75" s="203">
        <v>0</v>
      </c>
      <c r="BB75" s="41" t="s">
        <v>593</v>
      </c>
      <c r="BC75" s="191" t="s">
        <v>594</v>
      </c>
      <c r="BD75" s="189">
        <v>3</v>
      </c>
      <c r="BE75" s="30"/>
      <c r="BF75" s="186"/>
      <c r="BG75" s="183"/>
      <c r="BH75" s="183"/>
    </row>
    <row r="76" spans="1:60" ht="30" hidden="1" customHeight="1">
      <c r="A76" s="41" t="s">
        <v>122</v>
      </c>
      <c r="B76" s="116" t="s">
        <v>595</v>
      </c>
      <c r="C76" s="116" t="s">
        <v>596</v>
      </c>
      <c r="D76" s="116" t="s">
        <v>597</v>
      </c>
      <c r="E76" s="117" t="s">
        <v>126</v>
      </c>
      <c r="F76" s="117" t="s">
        <v>127</v>
      </c>
      <c r="G76" s="116" t="s">
        <v>598</v>
      </c>
      <c r="H76" s="119"/>
      <c r="I76" s="118" t="s">
        <v>129</v>
      </c>
      <c r="J76" s="41" t="s">
        <v>110</v>
      </c>
      <c r="K76" s="41">
        <v>1</v>
      </c>
      <c r="L76" s="41" t="s">
        <v>110</v>
      </c>
      <c r="M76" s="41">
        <v>1</v>
      </c>
      <c r="N76" s="39" t="s">
        <v>115</v>
      </c>
      <c r="O76" s="39">
        <v>1</v>
      </c>
      <c r="P76" s="5" t="s">
        <v>111</v>
      </c>
      <c r="Q76" s="41">
        <v>1</v>
      </c>
      <c r="R76" s="5" t="s">
        <v>112</v>
      </c>
      <c r="S76" s="41">
        <v>5</v>
      </c>
      <c r="T76" s="5" t="s">
        <v>218</v>
      </c>
      <c r="U76" s="41" t="s">
        <v>219</v>
      </c>
      <c r="V76" s="41"/>
      <c r="W76" s="174">
        <v>45756</v>
      </c>
      <c r="X76" s="174">
        <v>45758</v>
      </c>
      <c r="Y76" s="41"/>
      <c r="Z76" s="42" t="s">
        <v>116</v>
      </c>
      <c r="AA76" s="42" t="s">
        <v>592</v>
      </c>
      <c r="AB76" s="42" t="s">
        <v>118</v>
      </c>
      <c r="AC76" s="42" t="s">
        <v>132</v>
      </c>
      <c r="AD76" s="42"/>
      <c r="AE76" s="42"/>
      <c r="AF76" s="12">
        <f t="shared" si="1"/>
        <v>72</v>
      </c>
      <c r="AG76" s="7">
        <v>80</v>
      </c>
      <c r="AH76" s="7"/>
      <c r="AI76" s="7">
        <v>80</v>
      </c>
      <c r="AJ76" s="7" t="s">
        <v>133</v>
      </c>
      <c r="AK76" s="7">
        <v>40</v>
      </c>
      <c r="AL76" s="7"/>
      <c r="AM76" s="7">
        <v>80</v>
      </c>
      <c r="AN76" s="7"/>
      <c r="AO76" s="63">
        <v>5.8</v>
      </c>
      <c r="AP76" s="58">
        <v>1600</v>
      </c>
      <c r="AQ76" s="58">
        <v>310</v>
      </c>
      <c r="AR76" s="58">
        <v>310</v>
      </c>
      <c r="AS76" s="30">
        <v>0</v>
      </c>
      <c r="AT76" s="30">
        <v>0</v>
      </c>
      <c r="AU76" s="30">
        <v>0</v>
      </c>
      <c r="AV76" s="197">
        <v>0</v>
      </c>
      <c r="AW76" s="197">
        <v>0</v>
      </c>
      <c r="AX76" s="197">
        <v>0</v>
      </c>
      <c r="AY76" s="203">
        <v>12244.55</v>
      </c>
      <c r="AZ76" s="203">
        <v>9675.7900000000009</v>
      </c>
      <c r="BA76" s="203">
        <f>12244.55+9675.79</f>
        <v>21920.34</v>
      </c>
      <c r="BB76" s="41" t="s">
        <v>599</v>
      </c>
      <c r="BC76" s="191" t="s">
        <v>594</v>
      </c>
      <c r="BD76" s="189">
        <v>3</v>
      </c>
      <c r="BE76" s="30"/>
      <c r="BF76" s="186"/>
      <c r="BG76" s="183"/>
      <c r="BH76" s="183"/>
    </row>
    <row r="77" spans="1:60" ht="30" hidden="1" customHeight="1">
      <c r="A77" s="41" t="s">
        <v>391</v>
      </c>
      <c r="B77" s="116" t="s">
        <v>600</v>
      </c>
      <c r="C77" s="116" t="s">
        <v>601</v>
      </c>
      <c r="D77" s="116"/>
      <c r="E77" s="117" t="s">
        <v>201</v>
      </c>
      <c r="F77" s="117" t="s">
        <v>166</v>
      </c>
      <c r="G77" s="116"/>
      <c r="H77" s="119"/>
      <c r="I77" s="118"/>
      <c r="J77" s="41" t="s">
        <v>178</v>
      </c>
      <c r="K77" s="41">
        <v>1</v>
      </c>
      <c r="L77" s="41" t="s">
        <v>178</v>
      </c>
      <c r="M77" s="41">
        <v>1</v>
      </c>
      <c r="N77" s="39"/>
      <c r="O77" s="39"/>
      <c r="P77" s="5" t="s">
        <v>179</v>
      </c>
      <c r="Q77" s="41"/>
      <c r="R77" s="5" t="s">
        <v>112</v>
      </c>
      <c r="S77" s="41">
        <v>2</v>
      </c>
      <c r="T77" s="41" t="s">
        <v>304</v>
      </c>
      <c r="U77" s="41"/>
      <c r="V77" s="41" t="s">
        <v>115</v>
      </c>
      <c r="W77" s="174">
        <v>45756</v>
      </c>
      <c r="X77" s="174">
        <v>45757</v>
      </c>
      <c r="Y77" s="41"/>
      <c r="Z77" s="42"/>
      <c r="AA77" s="37"/>
      <c r="AB77" s="42"/>
      <c r="AC77" s="42"/>
      <c r="AD77" s="51"/>
      <c r="AE77" s="51"/>
      <c r="AF77" s="12">
        <f t="shared" si="1"/>
        <v>64</v>
      </c>
      <c r="AG77" s="7">
        <v>60</v>
      </c>
      <c r="AH77" s="7"/>
      <c r="AI77" s="7">
        <v>80</v>
      </c>
      <c r="AJ77" s="7"/>
      <c r="AK77" s="7">
        <v>40</v>
      </c>
      <c r="AL77" s="7"/>
      <c r="AM77" s="7">
        <v>80</v>
      </c>
      <c r="AN77" s="7"/>
      <c r="AO77" s="63">
        <v>5.8</v>
      </c>
      <c r="AP77" s="58">
        <v>800</v>
      </c>
      <c r="AQ77" s="58">
        <v>280</v>
      </c>
      <c r="AR77" s="58">
        <v>280</v>
      </c>
      <c r="AS77" s="30">
        <v>6496</v>
      </c>
      <c r="AT77" s="30">
        <v>4640</v>
      </c>
      <c r="AU77" s="30">
        <v>11136</v>
      </c>
      <c r="AV77" s="197">
        <v>6496</v>
      </c>
      <c r="AW77" s="197">
        <v>4640</v>
      </c>
      <c r="AX77" s="197">
        <v>11136</v>
      </c>
      <c r="AY77" s="203"/>
      <c r="AZ77" s="203"/>
      <c r="BA77" s="203">
        <v>0</v>
      </c>
      <c r="BB77" s="41" t="s">
        <v>280</v>
      </c>
      <c r="BC77" s="191"/>
      <c r="BD77" s="190">
        <v>2</v>
      </c>
      <c r="BE77" s="30"/>
      <c r="BF77" s="186"/>
      <c r="BG77" s="183"/>
      <c r="BH77" s="183"/>
    </row>
    <row r="78" spans="1:60" ht="30" hidden="1" customHeight="1">
      <c r="A78" s="41" t="s">
        <v>391</v>
      </c>
      <c r="B78" s="116" t="s">
        <v>600</v>
      </c>
      <c r="C78" s="116" t="s">
        <v>601</v>
      </c>
      <c r="D78" s="116"/>
      <c r="E78" s="117" t="s">
        <v>274</v>
      </c>
      <c r="F78" s="117" t="s">
        <v>275</v>
      </c>
      <c r="G78" s="116" t="s">
        <v>602</v>
      </c>
      <c r="H78" s="119"/>
      <c r="I78" s="118"/>
      <c r="J78" s="41" t="s">
        <v>178</v>
      </c>
      <c r="K78" s="41">
        <v>1</v>
      </c>
      <c r="L78" s="41" t="s">
        <v>178</v>
      </c>
      <c r="M78" s="41">
        <v>1</v>
      </c>
      <c r="N78" s="39"/>
      <c r="O78" s="39"/>
      <c r="P78" s="5" t="s">
        <v>179</v>
      </c>
      <c r="Q78" s="41"/>
      <c r="R78" s="5" t="s">
        <v>112</v>
      </c>
      <c r="S78" s="41">
        <v>2</v>
      </c>
      <c r="T78" s="41" t="s">
        <v>304</v>
      </c>
      <c r="U78" s="41"/>
      <c r="V78" s="41" t="s">
        <v>115</v>
      </c>
      <c r="W78" s="174">
        <v>45756</v>
      </c>
      <c r="X78" s="174">
        <v>45757</v>
      </c>
      <c r="Y78" s="41"/>
      <c r="Z78" s="42" t="s">
        <v>267</v>
      </c>
      <c r="AA78" s="37" t="s">
        <v>603</v>
      </c>
      <c r="AB78" s="42" t="s">
        <v>345</v>
      </c>
      <c r="AC78" s="42" t="s">
        <v>356</v>
      </c>
      <c r="AD78" s="51"/>
      <c r="AE78" s="51"/>
      <c r="AF78" s="12">
        <f t="shared" si="1"/>
        <v>62</v>
      </c>
      <c r="AG78" s="7">
        <v>60</v>
      </c>
      <c r="AH78" s="7"/>
      <c r="AI78" s="7">
        <v>80</v>
      </c>
      <c r="AJ78" s="7"/>
      <c r="AK78" s="7">
        <v>40</v>
      </c>
      <c r="AL78" s="7"/>
      <c r="AM78" s="7">
        <v>60</v>
      </c>
      <c r="AN78" s="7"/>
      <c r="AO78" s="63">
        <v>5.8</v>
      </c>
      <c r="AP78" s="58">
        <v>800</v>
      </c>
      <c r="AQ78" s="58">
        <v>200</v>
      </c>
      <c r="AR78" s="58">
        <v>200</v>
      </c>
      <c r="AS78" s="30">
        <v>4640</v>
      </c>
      <c r="AT78" s="30">
        <v>4640</v>
      </c>
      <c r="AU78" s="30">
        <v>9280</v>
      </c>
      <c r="AV78" s="197">
        <v>4640</v>
      </c>
      <c r="AW78" s="197">
        <v>4640</v>
      </c>
      <c r="AX78" s="197">
        <v>9280</v>
      </c>
      <c r="AY78" s="203"/>
      <c r="AZ78" s="203"/>
      <c r="BA78" s="203">
        <v>0</v>
      </c>
      <c r="BB78" s="41" t="s">
        <v>277</v>
      </c>
      <c r="BC78" s="191"/>
      <c r="BD78" s="190">
        <v>2</v>
      </c>
      <c r="BE78" s="30"/>
      <c r="BF78" s="186"/>
      <c r="BG78" s="183"/>
      <c r="BH78" s="183"/>
    </row>
    <row r="79" spans="1:60" ht="30" customHeight="1">
      <c r="A79" s="41" t="s">
        <v>391</v>
      </c>
      <c r="B79" s="116" t="s">
        <v>600</v>
      </c>
      <c r="C79" s="116" t="s">
        <v>601</v>
      </c>
      <c r="D79" s="116"/>
      <c r="E79" s="117" t="s">
        <v>195</v>
      </c>
      <c r="F79" s="117" t="s">
        <v>166</v>
      </c>
      <c r="G79" s="116"/>
      <c r="H79" s="119"/>
      <c r="I79" s="118"/>
      <c r="J79" s="5" t="s">
        <v>178</v>
      </c>
      <c r="K79" s="5">
        <v>1</v>
      </c>
      <c r="L79" s="41" t="s">
        <v>178</v>
      </c>
      <c r="M79" s="41">
        <v>1</v>
      </c>
      <c r="N79" s="39"/>
      <c r="O79" s="39"/>
      <c r="P79" s="5" t="s">
        <v>179</v>
      </c>
      <c r="Q79" s="41"/>
      <c r="R79" s="41" t="s">
        <v>112</v>
      </c>
      <c r="S79" s="41">
        <v>2</v>
      </c>
      <c r="T79" s="41" t="s">
        <v>304</v>
      </c>
      <c r="U79" s="41"/>
      <c r="V79" s="41" t="s">
        <v>115</v>
      </c>
      <c r="W79" s="174">
        <v>45756</v>
      </c>
      <c r="X79" s="174">
        <v>45757</v>
      </c>
      <c r="Y79" s="41"/>
      <c r="Z79" s="42" t="s">
        <v>267</v>
      </c>
      <c r="AA79" s="37" t="s">
        <v>603</v>
      </c>
      <c r="AB79" s="42" t="s">
        <v>345</v>
      </c>
      <c r="AC79" s="42"/>
      <c r="AD79" s="51"/>
      <c r="AE79" s="51"/>
      <c r="AF79" s="12">
        <f t="shared" si="1"/>
        <v>62</v>
      </c>
      <c r="AG79" s="39">
        <v>60</v>
      </c>
      <c r="AH79" s="39"/>
      <c r="AI79" s="39">
        <v>80</v>
      </c>
      <c r="AJ79" s="39"/>
      <c r="AK79" s="39">
        <v>40</v>
      </c>
      <c r="AL79" s="39"/>
      <c r="AM79" s="39">
        <v>60</v>
      </c>
      <c r="AN79" s="7"/>
      <c r="AO79" s="63">
        <v>5.8</v>
      </c>
      <c r="AP79" s="58">
        <v>800</v>
      </c>
      <c r="AQ79" s="58">
        <v>200</v>
      </c>
      <c r="AR79" s="58">
        <v>200</v>
      </c>
      <c r="AS79" s="30">
        <v>4640</v>
      </c>
      <c r="AT79" s="30">
        <v>4640</v>
      </c>
      <c r="AU79" s="30">
        <v>9280</v>
      </c>
      <c r="AV79" s="197">
        <v>4640</v>
      </c>
      <c r="AW79" s="197">
        <v>4640</v>
      </c>
      <c r="AX79" s="197">
        <v>9280</v>
      </c>
      <c r="AY79" s="203"/>
      <c r="AZ79" s="203"/>
      <c r="BA79" s="203">
        <v>0</v>
      </c>
      <c r="BB79" s="41"/>
      <c r="BC79" s="191"/>
      <c r="BD79" s="190">
        <v>2</v>
      </c>
      <c r="BE79" s="30"/>
      <c r="BF79" s="186"/>
      <c r="BG79" s="183"/>
      <c r="BH79" s="183"/>
    </row>
    <row r="80" spans="1:60" ht="30" hidden="1" customHeight="1">
      <c r="A80" s="41" t="s">
        <v>122</v>
      </c>
      <c r="B80" s="116" t="s">
        <v>604</v>
      </c>
      <c r="C80" s="116" t="s">
        <v>605</v>
      </c>
      <c r="D80" s="116" t="s">
        <v>606</v>
      </c>
      <c r="E80" s="117" t="s">
        <v>126</v>
      </c>
      <c r="F80" s="117" t="s">
        <v>152</v>
      </c>
      <c r="G80" s="116" t="s">
        <v>607</v>
      </c>
      <c r="H80" s="119"/>
      <c r="I80" s="118" t="s">
        <v>129</v>
      </c>
      <c r="J80" s="41" t="s">
        <v>110</v>
      </c>
      <c r="K80" s="41">
        <v>1</v>
      </c>
      <c r="L80" s="41" t="s">
        <v>110</v>
      </c>
      <c r="M80" s="41">
        <v>1</v>
      </c>
      <c r="N80" s="39" t="s">
        <v>115</v>
      </c>
      <c r="O80" s="39">
        <v>1</v>
      </c>
      <c r="P80" s="5" t="s">
        <v>111</v>
      </c>
      <c r="Q80" s="41">
        <v>1</v>
      </c>
      <c r="R80" s="41" t="s">
        <v>608</v>
      </c>
      <c r="S80" s="41">
        <v>5</v>
      </c>
      <c r="T80" s="5" t="s">
        <v>218</v>
      </c>
      <c r="U80" s="41" t="s">
        <v>219</v>
      </c>
      <c r="V80" s="5"/>
      <c r="W80" s="174">
        <v>45754</v>
      </c>
      <c r="X80" s="174">
        <v>45758</v>
      </c>
      <c r="Y80" s="41"/>
      <c r="Z80" s="42" t="s">
        <v>220</v>
      </c>
      <c r="AA80" s="42" t="s">
        <v>609</v>
      </c>
      <c r="AB80" s="42" t="s">
        <v>118</v>
      </c>
      <c r="AC80" s="42"/>
      <c r="AD80" s="42"/>
      <c r="AE80" s="42"/>
      <c r="AF80" s="12">
        <f t="shared" si="1"/>
        <v>86</v>
      </c>
      <c r="AG80" s="7">
        <v>80</v>
      </c>
      <c r="AH80" s="7"/>
      <c r="AI80" s="7">
        <v>100</v>
      </c>
      <c r="AJ80" s="7" t="s">
        <v>610</v>
      </c>
      <c r="AK80" s="7">
        <v>80</v>
      </c>
      <c r="AL80" s="7" t="s">
        <v>611</v>
      </c>
      <c r="AM80" s="7">
        <v>80</v>
      </c>
      <c r="AN80" s="7"/>
      <c r="AO80" s="63">
        <v>5.8</v>
      </c>
      <c r="AP80" s="58">
        <v>1600</v>
      </c>
      <c r="AQ80" s="58">
        <f>AVERAGE(330,320)</f>
        <v>325</v>
      </c>
      <c r="AR80" s="58">
        <f>AVERAGE(330,320)</f>
        <v>325</v>
      </c>
      <c r="AS80" s="30">
        <v>15080</v>
      </c>
      <c r="AT80" s="30">
        <v>9280</v>
      </c>
      <c r="AU80" s="30">
        <v>24360</v>
      </c>
      <c r="AV80" s="197">
        <v>15080</v>
      </c>
      <c r="AW80" s="197">
        <v>9280</v>
      </c>
      <c r="AX80" s="197">
        <v>24360</v>
      </c>
      <c r="AY80" s="203">
        <v>13354.4</v>
      </c>
      <c r="AZ80" s="203">
        <v>7496.36</v>
      </c>
      <c r="BA80" s="203">
        <f>13354.4+7496.36</f>
        <v>20850.759999999998</v>
      </c>
      <c r="BB80" s="41" t="s">
        <v>612</v>
      </c>
      <c r="BC80" s="191" t="s">
        <v>613</v>
      </c>
      <c r="BD80" s="189">
        <v>3</v>
      </c>
      <c r="BE80" s="30"/>
      <c r="BF80" s="186"/>
      <c r="BG80" s="183"/>
      <c r="BH80" s="183"/>
    </row>
    <row r="81" spans="1:60" ht="30" hidden="1" customHeight="1">
      <c r="A81" s="41" t="s">
        <v>122</v>
      </c>
      <c r="B81" s="116" t="s">
        <v>604</v>
      </c>
      <c r="C81" s="116" t="s">
        <v>605</v>
      </c>
      <c r="D81" s="116" t="s">
        <v>606</v>
      </c>
      <c r="E81" s="117" t="s">
        <v>126</v>
      </c>
      <c r="F81" s="117" t="s">
        <v>152</v>
      </c>
      <c r="G81" s="116" t="s">
        <v>607</v>
      </c>
      <c r="H81" s="119"/>
      <c r="I81" s="118" t="s">
        <v>129</v>
      </c>
      <c r="J81" s="41" t="s">
        <v>110</v>
      </c>
      <c r="K81" s="41">
        <v>1</v>
      </c>
      <c r="L81" s="41" t="s">
        <v>110</v>
      </c>
      <c r="M81" s="41">
        <v>1</v>
      </c>
      <c r="N81" s="39" t="s">
        <v>115</v>
      </c>
      <c r="O81" s="39">
        <v>1</v>
      </c>
      <c r="P81" s="5" t="s">
        <v>111</v>
      </c>
      <c r="Q81" s="41">
        <v>1</v>
      </c>
      <c r="R81" s="5" t="s">
        <v>608</v>
      </c>
      <c r="S81" s="41">
        <v>5</v>
      </c>
      <c r="T81" s="5" t="s">
        <v>218</v>
      </c>
      <c r="U81" s="5" t="s">
        <v>219</v>
      </c>
      <c r="V81" s="5"/>
      <c r="W81" s="175">
        <v>45754</v>
      </c>
      <c r="X81" s="174">
        <v>45758</v>
      </c>
      <c r="Y81" s="41"/>
      <c r="Z81" s="42" t="s">
        <v>220</v>
      </c>
      <c r="AA81" s="42" t="s">
        <v>609</v>
      </c>
      <c r="AB81" s="42" t="s">
        <v>614</v>
      </c>
      <c r="AC81" s="42"/>
      <c r="AD81" s="42"/>
      <c r="AE81" s="42"/>
      <c r="AF81" s="12">
        <f t="shared" si="1"/>
        <v>86</v>
      </c>
      <c r="AG81" s="7">
        <v>80</v>
      </c>
      <c r="AH81" s="7"/>
      <c r="AI81" s="7">
        <v>100</v>
      </c>
      <c r="AJ81" s="7" t="s">
        <v>610</v>
      </c>
      <c r="AK81" s="7">
        <v>80</v>
      </c>
      <c r="AL81" s="7" t="s">
        <v>611</v>
      </c>
      <c r="AM81" s="7">
        <v>80</v>
      </c>
      <c r="AN81" s="7"/>
      <c r="AO81" s="63">
        <v>5.8</v>
      </c>
      <c r="AP81" s="58">
        <v>1600</v>
      </c>
      <c r="AQ81" s="58">
        <f>AVERAGE(330,320)</f>
        <v>325</v>
      </c>
      <c r="AR81" s="58">
        <f>AVERAGE(330,320)</f>
        <v>325</v>
      </c>
      <c r="AS81" s="30">
        <v>15080</v>
      </c>
      <c r="AT81" s="30">
        <v>9280</v>
      </c>
      <c r="AU81" s="30">
        <v>24360</v>
      </c>
      <c r="AV81" s="197">
        <v>15080</v>
      </c>
      <c r="AW81" s="197">
        <v>9280</v>
      </c>
      <c r="AX81" s="197">
        <v>24360</v>
      </c>
      <c r="AY81" s="203">
        <v>12942.84</v>
      </c>
      <c r="AZ81" s="203">
        <v>7496.36</v>
      </c>
      <c r="BA81" s="203">
        <f>12942.84+7496.36</f>
        <v>20439.2</v>
      </c>
      <c r="BB81" s="41" t="s">
        <v>615</v>
      </c>
      <c r="BC81" s="191" t="s">
        <v>613</v>
      </c>
      <c r="BD81" s="189">
        <v>3</v>
      </c>
      <c r="BE81" s="30"/>
      <c r="BF81" s="186"/>
      <c r="BG81" s="183"/>
      <c r="BH81" s="183"/>
    </row>
    <row r="82" spans="1:60" ht="30" hidden="1" customHeight="1">
      <c r="A82" s="41" t="s">
        <v>122</v>
      </c>
      <c r="B82" s="116" t="s">
        <v>616</v>
      </c>
      <c r="C82" s="116">
        <v>2025</v>
      </c>
      <c r="D82" s="116" t="s">
        <v>464</v>
      </c>
      <c r="E82" s="117" t="s">
        <v>201</v>
      </c>
      <c r="F82" s="117" t="s">
        <v>321</v>
      </c>
      <c r="G82" s="116" t="s">
        <v>617</v>
      </c>
      <c r="H82" s="119"/>
      <c r="I82" s="118" t="s">
        <v>129</v>
      </c>
      <c r="J82" s="41" t="s">
        <v>110</v>
      </c>
      <c r="K82" s="41">
        <v>0</v>
      </c>
      <c r="L82" s="41" t="s">
        <v>110</v>
      </c>
      <c r="M82" s="41">
        <v>0</v>
      </c>
      <c r="N82" s="39"/>
      <c r="O82" s="39"/>
      <c r="P82" s="41" t="s">
        <v>312</v>
      </c>
      <c r="Q82" s="41">
        <v>1</v>
      </c>
      <c r="R82" s="5" t="s">
        <v>112</v>
      </c>
      <c r="S82" s="41">
        <v>3</v>
      </c>
      <c r="T82" s="5" t="s">
        <v>168</v>
      </c>
      <c r="U82" s="5" t="s">
        <v>169</v>
      </c>
      <c r="V82" s="5"/>
      <c r="W82" s="174">
        <v>45759</v>
      </c>
      <c r="X82" s="174">
        <v>45764</v>
      </c>
      <c r="Y82" s="41"/>
      <c r="Z82" s="42" t="s">
        <v>524</v>
      </c>
      <c r="AA82" s="42" t="s">
        <v>618</v>
      </c>
      <c r="AB82" s="42" t="s">
        <v>345</v>
      </c>
      <c r="AC82" s="42" t="s">
        <v>325</v>
      </c>
      <c r="AD82" s="42" t="s">
        <v>326</v>
      </c>
      <c r="AE82" s="42"/>
      <c r="AF82" s="12">
        <f t="shared" si="1"/>
        <v>66</v>
      </c>
      <c r="AG82" s="7">
        <v>60</v>
      </c>
      <c r="AH82" s="7"/>
      <c r="AI82" s="7">
        <v>80</v>
      </c>
      <c r="AJ82" s="7" t="s">
        <v>619</v>
      </c>
      <c r="AK82" s="7">
        <v>60</v>
      </c>
      <c r="AL82" s="7" t="s">
        <v>620</v>
      </c>
      <c r="AM82" s="7">
        <v>60</v>
      </c>
      <c r="AN82" s="7"/>
      <c r="AO82" s="63">
        <v>5.8</v>
      </c>
      <c r="AP82" s="58"/>
      <c r="AQ82" s="58"/>
      <c r="AR82" s="58"/>
      <c r="AS82" s="30">
        <v>0</v>
      </c>
      <c r="AT82" s="30">
        <v>0</v>
      </c>
      <c r="AU82" s="30">
        <v>0</v>
      </c>
      <c r="AV82" s="197">
        <v>0</v>
      </c>
      <c r="AW82" s="197">
        <v>0</v>
      </c>
      <c r="AX82" s="197">
        <v>0</v>
      </c>
      <c r="AY82" s="203">
        <v>5705.15</v>
      </c>
      <c r="AZ82" s="203">
        <v>503.05</v>
      </c>
      <c r="BA82" s="203">
        <f>5705.15+503.05</f>
        <v>6208.2</v>
      </c>
      <c r="BB82" s="41" t="s">
        <v>621</v>
      </c>
      <c r="BC82" s="191"/>
      <c r="BD82" s="189">
        <v>3</v>
      </c>
      <c r="BE82" s="30"/>
      <c r="BF82" s="186"/>
      <c r="BG82" s="183"/>
      <c r="BH82" s="183"/>
    </row>
    <row r="83" spans="1:60" ht="30" hidden="1" customHeight="1">
      <c r="A83" s="41" t="s">
        <v>122</v>
      </c>
      <c r="B83" s="116" t="s">
        <v>616</v>
      </c>
      <c r="C83" s="116">
        <v>2025</v>
      </c>
      <c r="D83" s="116" t="s">
        <v>464</v>
      </c>
      <c r="E83" s="117" t="s">
        <v>622</v>
      </c>
      <c r="F83" s="117" t="s">
        <v>321</v>
      </c>
      <c r="G83" s="116" t="s">
        <v>623</v>
      </c>
      <c r="H83" s="119"/>
      <c r="I83" s="118" t="s">
        <v>129</v>
      </c>
      <c r="J83" s="5" t="s">
        <v>110</v>
      </c>
      <c r="K83" s="5">
        <v>0</v>
      </c>
      <c r="L83" s="41" t="s">
        <v>110</v>
      </c>
      <c r="M83" s="41">
        <v>0</v>
      </c>
      <c r="N83" s="39"/>
      <c r="O83" s="39"/>
      <c r="P83" s="41" t="s">
        <v>312</v>
      </c>
      <c r="Q83" s="41">
        <v>1</v>
      </c>
      <c r="R83" s="5" t="s">
        <v>112</v>
      </c>
      <c r="S83" s="41">
        <v>3</v>
      </c>
      <c r="T83" s="5" t="s">
        <v>168</v>
      </c>
      <c r="U83" s="5" t="s">
        <v>169</v>
      </c>
      <c r="V83" s="5"/>
      <c r="W83" s="174">
        <v>45759</v>
      </c>
      <c r="X83" s="174">
        <v>45764</v>
      </c>
      <c r="Y83" s="41"/>
      <c r="Z83" s="42" t="s">
        <v>524</v>
      </c>
      <c r="AA83" s="42" t="s">
        <v>618</v>
      </c>
      <c r="AB83" s="42" t="s">
        <v>345</v>
      </c>
      <c r="AC83" s="42" t="s">
        <v>325</v>
      </c>
      <c r="AD83" s="42" t="s">
        <v>326</v>
      </c>
      <c r="AE83" s="42"/>
      <c r="AF83" s="12">
        <f t="shared" si="1"/>
        <v>66</v>
      </c>
      <c r="AG83" s="7">
        <v>60</v>
      </c>
      <c r="AH83" s="7"/>
      <c r="AI83" s="7">
        <v>80</v>
      </c>
      <c r="AJ83" s="7" t="s">
        <v>619</v>
      </c>
      <c r="AK83" s="7">
        <v>60</v>
      </c>
      <c r="AL83" s="7" t="s">
        <v>620</v>
      </c>
      <c r="AM83" s="7">
        <v>60</v>
      </c>
      <c r="AN83" s="7"/>
      <c r="AO83" s="63">
        <v>5.8</v>
      </c>
      <c r="AP83" s="58"/>
      <c r="AQ83" s="58"/>
      <c r="AR83" s="58"/>
      <c r="AS83" s="30">
        <v>0</v>
      </c>
      <c r="AT83" s="30">
        <v>0</v>
      </c>
      <c r="AU83" s="30">
        <v>0</v>
      </c>
      <c r="AV83" s="197">
        <v>0</v>
      </c>
      <c r="AW83" s="197">
        <v>0</v>
      </c>
      <c r="AX83" s="197">
        <v>0</v>
      </c>
      <c r="AY83" s="203">
        <v>11774.07</v>
      </c>
      <c r="AZ83" s="203">
        <v>12580.08</v>
      </c>
      <c r="BA83" s="203">
        <f>11774.07+12580.08</f>
        <v>24354.15</v>
      </c>
      <c r="BB83" s="41" t="s">
        <v>624</v>
      </c>
      <c r="BC83" s="191"/>
      <c r="BD83" s="189">
        <v>3</v>
      </c>
      <c r="BE83" s="30"/>
      <c r="BF83" s="186"/>
      <c r="BG83" s="183"/>
      <c r="BH83" s="183"/>
    </row>
    <row r="84" spans="1:60" ht="30" hidden="1" customHeight="1">
      <c r="A84" s="41" t="s">
        <v>122</v>
      </c>
      <c r="B84" s="116" t="s">
        <v>616</v>
      </c>
      <c r="C84" s="116">
        <v>2025</v>
      </c>
      <c r="D84" s="116" t="s">
        <v>464</v>
      </c>
      <c r="E84" s="117" t="s">
        <v>625</v>
      </c>
      <c r="F84" s="117" t="s">
        <v>321</v>
      </c>
      <c r="G84" s="116" t="s">
        <v>626</v>
      </c>
      <c r="H84" s="119"/>
      <c r="I84" s="152" t="s">
        <v>129</v>
      </c>
      <c r="J84" s="41" t="s">
        <v>110</v>
      </c>
      <c r="K84" s="41">
        <v>2</v>
      </c>
      <c r="L84" s="41" t="s">
        <v>110</v>
      </c>
      <c r="M84" s="41">
        <v>1</v>
      </c>
      <c r="N84" s="39"/>
      <c r="O84" s="39"/>
      <c r="P84" s="5" t="s">
        <v>111</v>
      </c>
      <c r="Q84" s="41">
        <v>1</v>
      </c>
      <c r="R84" s="5" t="s">
        <v>112</v>
      </c>
      <c r="S84" s="41">
        <v>3</v>
      </c>
      <c r="T84" s="5" t="s">
        <v>168</v>
      </c>
      <c r="U84" s="41" t="s">
        <v>169</v>
      </c>
      <c r="V84" s="41"/>
      <c r="W84" s="174">
        <v>45759</v>
      </c>
      <c r="X84" s="174">
        <v>45764</v>
      </c>
      <c r="Y84" s="41"/>
      <c r="Z84" s="42" t="s">
        <v>524</v>
      </c>
      <c r="AA84" s="42" t="s">
        <v>618</v>
      </c>
      <c r="AB84" s="42" t="s">
        <v>345</v>
      </c>
      <c r="AC84" s="42" t="s">
        <v>325</v>
      </c>
      <c r="AD84" s="42" t="s">
        <v>326</v>
      </c>
      <c r="AE84" s="42"/>
      <c r="AF84" s="12">
        <f t="shared" si="1"/>
        <v>66</v>
      </c>
      <c r="AG84" s="7">
        <v>60</v>
      </c>
      <c r="AH84" s="7"/>
      <c r="AI84" s="7">
        <v>80</v>
      </c>
      <c r="AJ84" s="7" t="s">
        <v>619</v>
      </c>
      <c r="AK84" s="7">
        <v>60</v>
      </c>
      <c r="AL84" s="7" t="s">
        <v>620</v>
      </c>
      <c r="AM84" s="7">
        <v>60</v>
      </c>
      <c r="AN84" s="7"/>
      <c r="AO84" s="63">
        <v>5.8</v>
      </c>
      <c r="AP84" s="58">
        <v>1600</v>
      </c>
      <c r="AQ84" s="58">
        <v>270</v>
      </c>
      <c r="AR84" s="58">
        <v>270</v>
      </c>
      <c r="AS84" s="30">
        <v>18792</v>
      </c>
      <c r="AT84" s="30">
        <v>18560</v>
      </c>
      <c r="AU84" s="30">
        <v>37352</v>
      </c>
      <c r="AV84" s="197">
        <v>9396</v>
      </c>
      <c r="AW84" s="197">
        <v>9280</v>
      </c>
      <c r="AX84" s="197">
        <v>18676</v>
      </c>
      <c r="AY84" s="203">
        <v>5345.07</v>
      </c>
      <c r="AZ84" s="203">
        <v>340.2</v>
      </c>
      <c r="BA84" s="203">
        <f>5345.07+340.2</f>
        <v>5685.2699999999995</v>
      </c>
      <c r="BB84" s="41" t="s">
        <v>627</v>
      </c>
      <c r="BC84" s="191"/>
      <c r="BD84" s="189">
        <v>3</v>
      </c>
      <c r="BE84" s="30"/>
      <c r="BF84" s="186"/>
      <c r="BG84" s="183"/>
      <c r="BH84" s="183"/>
    </row>
    <row r="85" spans="1:60" ht="30" hidden="1" customHeight="1">
      <c r="A85" s="41" t="s">
        <v>135</v>
      </c>
      <c r="B85" s="116" t="s">
        <v>628</v>
      </c>
      <c r="C85" s="116" t="s">
        <v>442</v>
      </c>
      <c r="D85" s="116" t="s">
        <v>629</v>
      </c>
      <c r="E85" s="117" t="s">
        <v>107</v>
      </c>
      <c r="F85" s="117" t="s">
        <v>108</v>
      </c>
      <c r="G85" s="116"/>
      <c r="H85" s="119"/>
      <c r="I85" s="118" t="s">
        <v>129</v>
      </c>
      <c r="J85" s="41" t="s">
        <v>110</v>
      </c>
      <c r="K85" s="5">
        <v>1</v>
      </c>
      <c r="L85" s="41" t="s">
        <v>110</v>
      </c>
      <c r="M85" s="5">
        <v>1</v>
      </c>
      <c r="N85" s="7"/>
      <c r="O85" s="7"/>
      <c r="P85" s="5" t="s">
        <v>111</v>
      </c>
      <c r="Q85" s="5">
        <v>1</v>
      </c>
      <c r="R85" s="5" t="s">
        <v>112</v>
      </c>
      <c r="S85" s="5">
        <v>4</v>
      </c>
      <c r="T85" s="5" t="s">
        <v>630</v>
      </c>
      <c r="U85" s="41" t="s">
        <v>631</v>
      </c>
      <c r="V85" s="5"/>
      <c r="W85" s="175">
        <v>45761</v>
      </c>
      <c r="X85" s="175">
        <v>45763</v>
      </c>
      <c r="Y85" s="5"/>
      <c r="Z85" s="3" t="s">
        <v>141</v>
      </c>
      <c r="AA85" s="2" t="s">
        <v>632</v>
      </c>
      <c r="AB85" s="3" t="s">
        <v>118</v>
      </c>
      <c r="AC85" s="3" t="s">
        <v>119</v>
      </c>
      <c r="AD85" s="50"/>
      <c r="AE85" s="50"/>
      <c r="AF85" s="12">
        <f t="shared" si="1"/>
        <v>76</v>
      </c>
      <c r="AG85" s="7">
        <v>80</v>
      </c>
      <c r="AH85" s="7" t="s">
        <v>633</v>
      </c>
      <c r="AI85" s="7">
        <v>80</v>
      </c>
      <c r="AJ85" s="7" t="s">
        <v>634</v>
      </c>
      <c r="AK85" s="7">
        <v>60</v>
      </c>
      <c r="AL85" s="7" t="s">
        <v>635</v>
      </c>
      <c r="AM85" s="7">
        <v>80</v>
      </c>
      <c r="AN85" s="7" t="s">
        <v>146</v>
      </c>
      <c r="AO85" s="63">
        <v>5.8</v>
      </c>
      <c r="AP85" s="58">
        <v>1600</v>
      </c>
      <c r="AQ85" s="58">
        <v>310</v>
      </c>
      <c r="AR85" s="58">
        <v>310</v>
      </c>
      <c r="AS85" s="30">
        <v>12586</v>
      </c>
      <c r="AT85" s="30">
        <v>9280</v>
      </c>
      <c r="AU85" s="30">
        <v>21866</v>
      </c>
      <c r="AV85" s="197">
        <v>12586</v>
      </c>
      <c r="AW85" s="197">
        <v>9280</v>
      </c>
      <c r="AX85" s="197">
        <v>21866</v>
      </c>
      <c r="AY85" s="202">
        <v>8508.5</v>
      </c>
      <c r="AZ85" s="202">
        <v>9878.9</v>
      </c>
      <c r="BA85" s="202">
        <f>8508.5+9878.9</f>
        <v>18387.400000000001</v>
      </c>
      <c r="BB85" s="189" t="s">
        <v>636</v>
      </c>
      <c r="BC85" s="191" t="s">
        <v>637</v>
      </c>
      <c r="BD85" s="192">
        <v>3</v>
      </c>
      <c r="BE85" s="30"/>
      <c r="BF85" s="186"/>
      <c r="BG85" s="183"/>
      <c r="BH85" s="183"/>
    </row>
    <row r="86" spans="1:60" ht="30" hidden="1" customHeight="1">
      <c r="A86" s="41" t="s">
        <v>135</v>
      </c>
      <c r="B86" s="116" t="s">
        <v>638</v>
      </c>
      <c r="C86" s="116" t="s">
        <v>442</v>
      </c>
      <c r="D86" s="116" t="s">
        <v>639</v>
      </c>
      <c r="E86" s="117" t="s">
        <v>107</v>
      </c>
      <c r="F86" s="117" t="s">
        <v>108</v>
      </c>
      <c r="G86" s="116" t="s">
        <v>186</v>
      </c>
      <c r="H86" s="119"/>
      <c r="I86" s="118" t="s">
        <v>129</v>
      </c>
      <c r="J86" s="41" t="s">
        <v>110</v>
      </c>
      <c r="K86" s="41">
        <v>1</v>
      </c>
      <c r="L86" s="41" t="s">
        <v>110</v>
      </c>
      <c r="M86" s="41">
        <v>1</v>
      </c>
      <c r="N86" s="39"/>
      <c r="O86" s="39"/>
      <c r="P86" s="5" t="s">
        <v>111</v>
      </c>
      <c r="Q86" s="41">
        <v>1</v>
      </c>
      <c r="R86" s="5" t="s">
        <v>112</v>
      </c>
      <c r="S86" s="41">
        <v>4</v>
      </c>
      <c r="T86" s="41" t="s">
        <v>630</v>
      </c>
      <c r="U86" s="41" t="s">
        <v>631</v>
      </c>
      <c r="V86" s="5"/>
      <c r="W86" s="174">
        <v>45761</v>
      </c>
      <c r="X86" s="174">
        <v>45763</v>
      </c>
      <c r="Y86" s="41"/>
      <c r="Z86" s="42" t="s">
        <v>141</v>
      </c>
      <c r="AA86" s="37" t="s">
        <v>640</v>
      </c>
      <c r="AB86" s="42" t="s">
        <v>118</v>
      </c>
      <c r="AC86" s="42" t="s">
        <v>119</v>
      </c>
      <c r="AD86" s="51"/>
      <c r="AE86" s="51"/>
      <c r="AF86" s="12">
        <f t="shared" si="1"/>
        <v>76</v>
      </c>
      <c r="AG86" s="7">
        <v>80</v>
      </c>
      <c r="AH86" s="7" t="s">
        <v>633</v>
      </c>
      <c r="AI86" s="7">
        <v>80</v>
      </c>
      <c r="AJ86" s="7" t="s">
        <v>634</v>
      </c>
      <c r="AK86" s="7">
        <v>60</v>
      </c>
      <c r="AL86" s="7" t="s">
        <v>635</v>
      </c>
      <c r="AM86" s="7">
        <v>80</v>
      </c>
      <c r="AN86" s="7" t="s">
        <v>146</v>
      </c>
      <c r="AO86" s="63">
        <v>5.8</v>
      </c>
      <c r="AP86" s="58">
        <v>1600</v>
      </c>
      <c r="AQ86" s="58">
        <v>310</v>
      </c>
      <c r="AR86" s="58">
        <v>310</v>
      </c>
      <c r="AS86" s="30">
        <v>12586</v>
      </c>
      <c r="AT86" s="30">
        <v>9280</v>
      </c>
      <c r="AU86" s="30">
        <v>21866</v>
      </c>
      <c r="AV86" s="197">
        <v>12586</v>
      </c>
      <c r="AW86" s="197">
        <v>9280</v>
      </c>
      <c r="AX86" s="197">
        <v>21866</v>
      </c>
      <c r="AY86" s="203">
        <v>8508.5</v>
      </c>
      <c r="AZ86" s="203">
        <v>9893.94</v>
      </c>
      <c r="BA86" s="203">
        <f>8508.5+9808.8</f>
        <v>18317.3</v>
      </c>
      <c r="BB86" s="41" t="s">
        <v>641</v>
      </c>
      <c r="BC86" s="41" t="s">
        <v>637</v>
      </c>
      <c r="BD86" s="192">
        <v>3</v>
      </c>
      <c r="BE86" s="30"/>
      <c r="BF86" s="186"/>
      <c r="BG86" s="183"/>
      <c r="BH86" s="183"/>
    </row>
    <row r="87" spans="1:60" ht="30" hidden="1" customHeight="1">
      <c r="A87" s="41" t="s">
        <v>476</v>
      </c>
      <c r="B87" s="120" t="s">
        <v>642</v>
      </c>
      <c r="C87" s="116">
        <v>2025</v>
      </c>
      <c r="D87" s="116"/>
      <c r="E87" s="117" t="s">
        <v>339</v>
      </c>
      <c r="F87" s="117" t="s">
        <v>340</v>
      </c>
      <c r="G87" s="120" t="s">
        <v>643</v>
      </c>
      <c r="H87" s="121"/>
      <c r="I87" s="41"/>
      <c r="J87" s="41" t="s">
        <v>110</v>
      </c>
      <c r="K87" s="41">
        <v>2</v>
      </c>
      <c r="L87" s="41" t="s">
        <v>110</v>
      </c>
      <c r="M87" s="41">
        <v>1</v>
      </c>
      <c r="N87" s="39" t="s">
        <v>115</v>
      </c>
      <c r="O87" s="39">
        <v>1</v>
      </c>
      <c r="P87" s="5" t="s">
        <v>111</v>
      </c>
      <c r="Q87" s="41"/>
      <c r="R87" s="5" t="s">
        <v>112</v>
      </c>
      <c r="S87" s="41">
        <v>3</v>
      </c>
      <c r="T87" s="41" t="s">
        <v>139</v>
      </c>
      <c r="U87" s="41"/>
      <c r="V87" s="41"/>
      <c r="W87" s="174">
        <v>45992</v>
      </c>
      <c r="X87" s="174">
        <v>45992</v>
      </c>
      <c r="Y87" s="41"/>
      <c r="Z87" s="42" t="s">
        <v>313</v>
      </c>
      <c r="AA87" s="37" t="s">
        <v>644</v>
      </c>
      <c r="AB87" s="42" t="s">
        <v>118</v>
      </c>
      <c r="AC87" s="42" t="s">
        <v>645</v>
      </c>
      <c r="AD87" s="42"/>
      <c r="AE87" s="42"/>
      <c r="AF87" s="12">
        <f t="shared" si="1"/>
        <v>68</v>
      </c>
      <c r="AG87" s="7">
        <v>60</v>
      </c>
      <c r="AH87" s="7"/>
      <c r="AI87" s="7">
        <v>100</v>
      </c>
      <c r="AJ87" s="7" t="s">
        <v>646</v>
      </c>
      <c r="AK87" s="7">
        <v>40</v>
      </c>
      <c r="AL87" s="7"/>
      <c r="AM87" s="7">
        <v>60</v>
      </c>
      <c r="AN87" s="7" t="s">
        <v>348</v>
      </c>
      <c r="AO87" s="63">
        <v>5.8</v>
      </c>
      <c r="AP87" s="58">
        <v>1600</v>
      </c>
      <c r="AQ87" s="58">
        <f>AVERAGE(460,420)</f>
        <v>440</v>
      </c>
      <c r="AR87" s="58">
        <v>460</v>
      </c>
      <c r="AS87" s="30">
        <v>30624</v>
      </c>
      <c r="AT87" s="30">
        <v>18560</v>
      </c>
      <c r="AU87" s="30">
        <v>49184</v>
      </c>
      <c r="AV87" s="197">
        <v>16008</v>
      </c>
      <c r="AW87" s="197">
        <v>9280</v>
      </c>
      <c r="AX87" s="197">
        <v>25288</v>
      </c>
      <c r="AY87" s="203"/>
      <c r="AZ87" s="203"/>
      <c r="BA87" s="203">
        <v>0</v>
      </c>
      <c r="BB87" s="41" t="s">
        <v>647</v>
      </c>
      <c r="BC87" s="41"/>
      <c r="BD87" s="189">
        <v>3</v>
      </c>
      <c r="BE87" s="30"/>
      <c r="BF87" s="186"/>
      <c r="BG87" s="183"/>
      <c r="BH87" s="183"/>
    </row>
    <row r="88" spans="1:60" ht="30" hidden="1" customHeight="1">
      <c r="A88" s="41" t="s">
        <v>239</v>
      </c>
      <c r="B88" s="116" t="s">
        <v>648</v>
      </c>
      <c r="C88" s="116" t="s">
        <v>649</v>
      </c>
      <c r="D88" s="116" t="s">
        <v>650</v>
      </c>
      <c r="E88" s="117" t="s">
        <v>176</v>
      </c>
      <c r="F88" s="117" t="s">
        <v>651</v>
      </c>
      <c r="G88" s="116"/>
      <c r="H88" s="119"/>
      <c r="I88" s="118" t="s">
        <v>129</v>
      </c>
      <c r="J88" s="41" t="s">
        <v>110</v>
      </c>
      <c r="K88" s="41">
        <v>1</v>
      </c>
      <c r="L88" s="41" t="s">
        <v>110</v>
      </c>
      <c r="M88" s="41">
        <v>1</v>
      </c>
      <c r="N88" s="39" t="s">
        <v>115</v>
      </c>
      <c r="O88" s="39">
        <v>1</v>
      </c>
      <c r="P88" s="5" t="s">
        <v>111</v>
      </c>
      <c r="Q88" s="41">
        <v>1</v>
      </c>
      <c r="R88" s="5" t="s">
        <v>112</v>
      </c>
      <c r="S88" s="41">
        <v>3</v>
      </c>
      <c r="T88" s="41" t="s">
        <v>139</v>
      </c>
      <c r="U88" s="41" t="s">
        <v>652</v>
      </c>
      <c r="V88" s="41"/>
      <c r="W88" s="174">
        <v>45761</v>
      </c>
      <c r="X88" s="174">
        <v>45763</v>
      </c>
      <c r="Y88" s="41"/>
      <c r="Z88" s="42" t="s">
        <v>141</v>
      </c>
      <c r="AA88" s="42" t="s">
        <v>653</v>
      </c>
      <c r="AB88" s="42" t="s">
        <v>118</v>
      </c>
      <c r="AC88" s="42" t="s">
        <v>654</v>
      </c>
      <c r="AD88" s="42"/>
      <c r="AE88" s="42"/>
      <c r="AF88" s="12">
        <f t="shared" si="1"/>
        <v>72</v>
      </c>
      <c r="AG88" s="7">
        <v>80</v>
      </c>
      <c r="AH88" s="7" t="s">
        <v>655</v>
      </c>
      <c r="AI88" s="7">
        <v>80</v>
      </c>
      <c r="AJ88" s="7" t="s">
        <v>656</v>
      </c>
      <c r="AK88" s="7">
        <v>40</v>
      </c>
      <c r="AL88" s="7" t="s">
        <v>657</v>
      </c>
      <c r="AM88" s="7">
        <v>80</v>
      </c>
      <c r="AN88" s="7" t="s">
        <v>658</v>
      </c>
      <c r="AO88" s="63">
        <v>5.8</v>
      </c>
      <c r="AP88" s="58">
        <v>1600</v>
      </c>
      <c r="AQ88" s="58">
        <v>390</v>
      </c>
      <c r="AR88" s="58">
        <v>390</v>
      </c>
      <c r="AS88" s="30">
        <v>13572</v>
      </c>
      <c r="AT88" s="30">
        <v>9280</v>
      </c>
      <c r="AU88" s="30">
        <v>22852</v>
      </c>
      <c r="AV88" s="197">
        <v>13572</v>
      </c>
      <c r="AW88" s="197">
        <v>9280</v>
      </c>
      <c r="AX88" s="197">
        <v>22852</v>
      </c>
      <c r="AY88" s="203">
        <v>12937.8</v>
      </c>
      <c r="AZ88" s="203">
        <v>5003.97</v>
      </c>
      <c r="BA88" s="203">
        <f>12937.8+5003.97</f>
        <v>17941.77</v>
      </c>
      <c r="BB88" s="41" t="s">
        <v>659</v>
      </c>
      <c r="BC88" s="191" t="s">
        <v>660</v>
      </c>
      <c r="BD88" s="189">
        <v>3</v>
      </c>
      <c r="BE88" s="30" t="s">
        <v>661</v>
      </c>
      <c r="BF88" s="186"/>
      <c r="BG88" s="183"/>
      <c r="BH88" s="183"/>
    </row>
    <row r="89" spans="1:60" ht="30" hidden="1" customHeight="1">
      <c r="A89" s="41" t="s">
        <v>122</v>
      </c>
      <c r="B89" s="116" t="s">
        <v>662</v>
      </c>
      <c r="C89" s="116" t="s">
        <v>663</v>
      </c>
      <c r="D89" s="116" t="s">
        <v>664</v>
      </c>
      <c r="E89" s="117" t="s">
        <v>165</v>
      </c>
      <c r="F89" s="117" t="s">
        <v>166</v>
      </c>
      <c r="G89" s="116"/>
      <c r="H89" s="119"/>
      <c r="I89" s="118" t="s">
        <v>129</v>
      </c>
      <c r="J89" s="41" t="s">
        <v>110</v>
      </c>
      <c r="K89" s="41">
        <v>2</v>
      </c>
      <c r="L89" s="41" t="s">
        <v>110</v>
      </c>
      <c r="M89" s="41">
        <v>1</v>
      </c>
      <c r="N89" s="39" t="s">
        <v>115</v>
      </c>
      <c r="O89" s="39">
        <v>1</v>
      </c>
      <c r="P89" s="5" t="s">
        <v>111</v>
      </c>
      <c r="Q89" s="41">
        <v>1</v>
      </c>
      <c r="R89" s="5" t="s">
        <v>112</v>
      </c>
      <c r="S89" s="41">
        <v>3</v>
      </c>
      <c r="T89" s="5" t="s">
        <v>218</v>
      </c>
      <c r="U89" s="41" t="s">
        <v>219</v>
      </c>
      <c r="V89" s="41"/>
      <c r="W89" s="174">
        <v>45773</v>
      </c>
      <c r="X89" s="174">
        <v>45775</v>
      </c>
      <c r="Y89" s="41"/>
      <c r="Z89" s="42" t="s">
        <v>220</v>
      </c>
      <c r="AA89" s="42" t="s">
        <v>665</v>
      </c>
      <c r="AB89" s="42" t="s">
        <v>118</v>
      </c>
      <c r="AC89" s="42" t="s">
        <v>666</v>
      </c>
      <c r="AD89" s="42"/>
      <c r="AE89" s="42"/>
      <c r="AF89" s="12">
        <f t="shared" si="1"/>
        <v>84</v>
      </c>
      <c r="AG89" s="7">
        <v>80</v>
      </c>
      <c r="AH89" s="7"/>
      <c r="AI89" s="7">
        <v>80</v>
      </c>
      <c r="AJ89" s="7" t="s">
        <v>172</v>
      </c>
      <c r="AK89" s="7">
        <v>100</v>
      </c>
      <c r="AL89" s="7"/>
      <c r="AM89" s="7">
        <v>80</v>
      </c>
      <c r="AN89" s="7"/>
      <c r="AO89" s="63">
        <v>5.8</v>
      </c>
      <c r="AP89" s="58">
        <v>1600</v>
      </c>
      <c r="AQ89" s="58">
        <v>330</v>
      </c>
      <c r="AR89" s="58">
        <v>330</v>
      </c>
      <c r="AS89" s="30">
        <v>22968</v>
      </c>
      <c r="AT89" s="30">
        <v>18560</v>
      </c>
      <c r="AU89" s="30">
        <v>41528</v>
      </c>
      <c r="AV89" s="197">
        <v>11484</v>
      </c>
      <c r="AW89" s="197">
        <v>9280</v>
      </c>
      <c r="AX89" s="197">
        <v>20764</v>
      </c>
      <c r="AY89" s="203">
        <v>11095.65</v>
      </c>
      <c r="AZ89" s="203">
        <v>7249.05</v>
      </c>
      <c r="BA89" s="203">
        <f>11095.65+7249.05</f>
        <v>18344.7</v>
      </c>
      <c r="BB89" s="41" t="s">
        <v>173</v>
      </c>
      <c r="BC89" s="191" t="s">
        <v>667</v>
      </c>
      <c r="BD89" s="189">
        <v>3</v>
      </c>
      <c r="BE89" s="30"/>
      <c r="BF89" s="186"/>
      <c r="BG89" s="183"/>
      <c r="BH89" s="183"/>
    </row>
    <row r="90" spans="1:60" ht="30" hidden="1" customHeight="1">
      <c r="A90" s="41" t="s">
        <v>122</v>
      </c>
      <c r="B90" s="116" t="s">
        <v>668</v>
      </c>
      <c r="C90" s="116" t="s">
        <v>669</v>
      </c>
      <c r="D90" s="116" t="s">
        <v>670</v>
      </c>
      <c r="E90" s="117" t="s">
        <v>126</v>
      </c>
      <c r="F90" s="117" t="s">
        <v>127</v>
      </c>
      <c r="G90" s="116" t="s">
        <v>671</v>
      </c>
      <c r="H90" s="119" t="s">
        <v>591</v>
      </c>
      <c r="I90" s="118" t="s">
        <v>341</v>
      </c>
      <c r="J90" s="41" t="s">
        <v>110</v>
      </c>
      <c r="K90" s="41">
        <v>1</v>
      </c>
      <c r="L90" s="41" t="s">
        <v>110</v>
      </c>
      <c r="M90" s="41">
        <v>1</v>
      </c>
      <c r="N90" s="39"/>
      <c r="O90" s="39"/>
      <c r="P90" s="5" t="s">
        <v>111</v>
      </c>
      <c r="Q90" s="41">
        <v>1</v>
      </c>
      <c r="R90" s="41" t="s">
        <v>112</v>
      </c>
      <c r="S90" s="41">
        <v>8</v>
      </c>
      <c r="T90" s="41" t="s">
        <v>218</v>
      </c>
      <c r="U90" s="41" t="s">
        <v>219</v>
      </c>
      <c r="V90" s="41"/>
      <c r="W90" s="177">
        <v>45775</v>
      </c>
      <c r="X90" s="174">
        <v>45779</v>
      </c>
      <c r="Y90" s="41"/>
      <c r="Z90" s="42" t="s">
        <v>220</v>
      </c>
      <c r="AA90" s="42" t="s">
        <v>672</v>
      </c>
      <c r="AB90" s="42" t="s">
        <v>673</v>
      </c>
      <c r="AC90" s="42" t="s">
        <v>132</v>
      </c>
      <c r="AD90" s="42"/>
      <c r="AE90" s="42"/>
      <c r="AF90" s="12">
        <f t="shared" si="1"/>
        <v>86</v>
      </c>
      <c r="AG90" s="7">
        <v>80</v>
      </c>
      <c r="AH90" s="7"/>
      <c r="AI90" s="7">
        <v>100</v>
      </c>
      <c r="AJ90" s="7" t="s">
        <v>674</v>
      </c>
      <c r="AK90" s="7">
        <v>80</v>
      </c>
      <c r="AL90" s="7"/>
      <c r="AM90" s="7">
        <v>80</v>
      </c>
      <c r="AN90" s="7"/>
      <c r="AO90" s="63">
        <v>5.8</v>
      </c>
      <c r="AP90" s="58">
        <v>1600</v>
      </c>
      <c r="AQ90" s="58">
        <f>AVERAGE(350,330)</f>
        <v>340</v>
      </c>
      <c r="AR90" s="58">
        <f>AVERAGE(350,330)</f>
        <v>340</v>
      </c>
      <c r="AS90" s="30">
        <v>21692</v>
      </c>
      <c r="AT90" s="30">
        <v>9280</v>
      </c>
      <c r="AU90" s="30">
        <v>30972</v>
      </c>
      <c r="AV90" s="197">
        <v>21692</v>
      </c>
      <c r="AW90" s="197">
        <v>9280</v>
      </c>
      <c r="AX90" s="197">
        <v>30972</v>
      </c>
      <c r="AY90" s="203">
        <v>22129.99</v>
      </c>
      <c r="AZ90" s="203">
        <v>13220.98</v>
      </c>
      <c r="BA90" s="203">
        <f>22129.99+13220.98</f>
        <v>35350.97</v>
      </c>
      <c r="BB90" s="41" t="s">
        <v>675</v>
      </c>
      <c r="BC90" s="191" t="s">
        <v>676</v>
      </c>
      <c r="BD90" s="189">
        <v>3</v>
      </c>
      <c r="BE90" s="30"/>
      <c r="BF90" s="186"/>
      <c r="BG90" s="183"/>
      <c r="BH90" s="183"/>
    </row>
    <row r="91" spans="1:60" ht="30" hidden="1" customHeight="1">
      <c r="A91" s="41" t="s">
        <v>122</v>
      </c>
      <c r="B91" s="116" t="s">
        <v>677</v>
      </c>
      <c r="C91" s="116" t="s">
        <v>678</v>
      </c>
      <c r="D91" s="116" t="s">
        <v>679</v>
      </c>
      <c r="E91" s="117" t="s">
        <v>176</v>
      </c>
      <c r="F91" s="117" t="s">
        <v>651</v>
      </c>
      <c r="G91" s="116" t="s">
        <v>680</v>
      </c>
      <c r="H91" s="119"/>
      <c r="I91" s="118" t="s">
        <v>341</v>
      </c>
      <c r="J91" s="41" t="s">
        <v>110</v>
      </c>
      <c r="K91" s="41">
        <v>4</v>
      </c>
      <c r="L91" s="41" t="s">
        <v>110</v>
      </c>
      <c r="M91" s="41">
        <v>2</v>
      </c>
      <c r="N91" s="39" t="s">
        <v>115</v>
      </c>
      <c r="O91" s="39">
        <v>1</v>
      </c>
      <c r="P91" s="5" t="s">
        <v>111</v>
      </c>
      <c r="Q91" s="41">
        <v>1</v>
      </c>
      <c r="R91" s="41" t="s">
        <v>112</v>
      </c>
      <c r="S91" s="41">
        <v>5</v>
      </c>
      <c r="T91" s="41" t="s">
        <v>579</v>
      </c>
      <c r="U91" s="41" t="s">
        <v>681</v>
      </c>
      <c r="V91" s="41"/>
      <c r="W91" s="174">
        <v>45783</v>
      </c>
      <c r="X91" s="174">
        <v>45794</v>
      </c>
      <c r="Y91" s="41"/>
      <c r="Z91" s="42" t="s">
        <v>220</v>
      </c>
      <c r="AA91" s="42" t="s">
        <v>682</v>
      </c>
      <c r="AB91" s="42" t="s">
        <v>118</v>
      </c>
      <c r="AC91" s="42" t="s">
        <v>683</v>
      </c>
      <c r="AD91" s="42"/>
      <c r="AE91" s="42"/>
      <c r="AF91" s="12">
        <f t="shared" si="1"/>
        <v>74</v>
      </c>
      <c r="AG91" s="7">
        <v>80</v>
      </c>
      <c r="AH91" s="7"/>
      <c r="AI91" s="7">
        <v>60</v>
      </c>
      <c r="AJ91" s="7" t="s">
        <v>684</v>
      </c>
      <c r="AK91" s="7">
        <v>80</v>
      </c>
      <c r="AL91" s="7" t="s">
        <v>685</v>
      </c>
      <c r="AM91" s="7">
        <v>80</v>
      </c>
      <c r="AN91" s="7"/>
      <c r="AO91" s="63">
        <v>5.8</v>
      </c>
      <c r="AP91" s="58">
        <v>1600</v>
      </c>
      <c r="AQ91" s="62">
        <f>AVERAGE(420,370,390,370)</f>
        <v>387.5</v>
      </c>
      <c r="AR91" s="58">
        <f>AVERAGE(420,370)</f>
        <v>395</v>
      </c>
      <c r="AS91" s="30">
        <v>71920</v>
      </c>
      <c r="AT91" s="30">
        <v>37120</v>
      </c>
      <c r="AU91" s="30">
        <v>109040</v>
      </c>
      <c r="AV91" s="197">
        <v>36656</v>
      </c>
      <c r="AW91" s="197">
        <v>18560</v>
      </c>
      <c r="AX91" s="197">
        <v>55216</v>
      </c>
      <c r="AY91" s="203">
        <v>25803.93</v>
      </c>
      <c r="AZ91" s="203">
        <v>13408.71</v>
      </c>
      <c r="BA91" s="203">
        <f>25803.93+13408.71</f>
        <v>39212.639999999999</v>
      </c>
      <c r="BB91" s="41" t="s">
        <v>686</v>
      </c>
      <c r="BC91" s="191" t="s">
        <v>687</v>
      </c>
      <c r="BD91" s="189">
        <v>3</v>
      </c>
      <c r="BE91" s="30" t="s">
        <v>688</v>
      </c>
      <c r="BF91" s="186"/>
      <c r="BG91" s="183"/>
      <c r="BH91" s="183"/>
    </row>
    <row r="92" spans="1:60" ht="30" hidden="1" customHeight="1">
      <c r="A92" s="41" t="s">
        <v>122</v>
      </c>
      <c r="B92" s="116" t="s">
        <v>689</v>
      </c>
      <c r="C92" s="116" t="s">
        <v>690</v>
      </c>
      <c r="D92" s="116" t="s">
        <v>691</v>
      </c>
      <c r="E92" s="117" t="s">
        <v>216</v>
      </c>
      <c r="F92" s="117" t="s">
        <v>340</v>
      </c>
      <c r="G92" s="116" t="s">
        <v>692</v>
      </c>
      <c r="H92" s="119"/>
      <c r="I92" s="118"/>
      <c r="J92" s="41" t="s">
        <v>110</v>
      </c>
      <c r="K92" s="41">
        <v>2</v>
      </c>
      <c r="L92" s="41" t="s">
        <v>178</v>
      </c>
      <c r="M92" s="41">
        <v>1</v>
      </c>
      <c r="N92" s="39"/>
      <c r="O92" s="39"/>
      <c r="P92" s="5" t="s">
        <v>179</v>
      </c>
      <c r="Q92" s="41"/>
      <c r="R92" s="41" t="s">
        <v>112</v>
      </c>
      <c r="S92" s="41">
        <v>5</v>
      </c>
      <c r="T92" s="41" t="s">
        <v>218</v>
      </c>
      <c r="U92" s="41" t="s">
        <v>219</v>
      </c>
      <c r="V92" s="41"/>
      <c r="W92" s="174">
        <v>45783</v>
      </c>
      <c r="X92" s="174">
        <v>45787</v>
      </c>
      <c r="Y92" s="41"/>
      <c r="Z92" s="42" t="s">
        <v>141</v>
      </c>
      <c r="AA92" s="42" t="s">
        <v>693</v>
      </c>
      <c r="AB92" s="42" t="s">
        <v>118</v>
      </c>
      <c r="AC92" s="42"/>
      <c r="AD92" s="42"/>
      <c r="AE92" s="42"/>
      <c r="AF92" s="12">
        <f t="shared" si="1"/>
        <v>72</v>
      </c>
      <c r="AG92" s="7">
        <v>80</v>
      </c>
      <c r="AH92" s="7"/>
      <c r="AI92" s="7">
        <v>80</v>
      </c>
      <c r="AJ92" s="7"/>
      <c r="AK92" s="7">
        <v>40</v>
      </c>
      <c r="AL92" s="7"/>
      <c r="AM92" s="7">
        <v>80</v>
      </c>
      <c r="AN92" s="7"/>
      <c r="AO92" s="63">
        <v>5.8</v>
      </c>
      <c r="AP92" s="58">
        <v>1600</v>
      </c>
      <c r="AQ92" s="58">
        <f>AVERAGE(330,320)</f>
        <v>325</v>
      </c>
      <c r="AR92" s="58">
        <v>320</v>
      </c>
      <c r="AS92" s="30">
        <v>30160</v>
      </c>
      <c r="AT92" s="30">
        <v>18560</v>
      </c>
      <c r="AU92" s="30">
        <v>48720</v>
      </c>
      <c r="AV92" s="197">
        <v>14848</v>
      </c>
      <c r="AW92" s="197">
        <v>9280</v>
      </c>
      <c r="AX92" s="197">
        <v>24128</v>
      </c>
      <c r="AY92" s="203"/>
      <c r="AZ92" s="203"/>
      <c r="BA92" s="203">
        <v>0</v>
      </c>
      <c r="BB92" s="41" t="s">
        <v>694</v>
      </c>
      <c r="BC92" s="191"/>
      <c r="BD92" s="189">
        <v>3</v>
      </c>
      <c r="BE92" s="30" t="s">
        <v>695</v>
      </c>
      <c r="BF92" s="186"/>
      <c r="BG92" s="183"/>
      <c r="BH92" s="183"/>
    </row>
    <row r="93" spans="1:60" ht="30" hidden="1" customHeight="1">
      <c r="A93" s="41" t="s">
        <v>122</v>
      </c>
      <c r="B93" s="116" t="s">
        <v>668</v>
      </c>
      <c r="C93" s="116" t="s">
        <v>669</v>
      </c>
      <c r="D93" s="116" t="s">
        <v>670</v>
      </c>
      <c r="E93" s="117" t="s">
        <v>126</v>
      </c>
      <c r="F93" s="117" t="s">
        <v>127</v>
      </c>
      <c r="G93" s="116" t="s">
        <v>671</v>
      </c>
      <c r="H93" s="119" t="s">
        <v>591</v>
      </c>
      <c r="I93" s="118" t="s">
        <v>341</v>
      </c>
      <c r="J93" s="41" t="s">
        <v>110</v>
      </c>
      <c r="K93" s="41">
        <v>1</v>
      </c>
      <c r="L93" s="41" t="s">
        <v>110</v>
      </c>
      <c r="M93" s="41">
        <v>1</v>
      </c>
      <c r="N93" s="39" t="s">
        <v>115</v>
      </c>
      <c r="O93" s="39">
        <v>2</v>
      </c>
      <c r="P93" s="5" t="s">
        <v>111</v>
      </c>
      <c r="Q93" s="41">
        <v>1</v>
      </c>
      <c r="R93" s="5" t="s">
        <v>112</v>
      </c>
      <c r="S93" s="41">
        <v>8</v>
      </c>
      <c r="T93" s="5" t="s">
        <v>218</v>
      </c>
      <c r="U93" s="41" t="s">
        <v>219</v>
      </c>
      <c r="V93" s="41"/>
      <c r="W93" s="177">
        <v>45775</v>
      </c>
      <c r="X93" s="174">
        <v>45779</v>
      </c>
      <c r="Y93" s="41"/>
      <c r="Z93" s="42" t="s">
        <v>220</v>
      </c>
      <c r="AA93" s="42" t="s">
        <v>672</v>
      </c>
      <c r="AB93" s="42" t="s">
        <v>496</v>
      </c>
      <c r="AC93" s="42" t="s">
        <v>132</v>
      </c>
      <c r="AD93" s="42"/>
      <c r="AE93" s="42"/>
      <c r="AF93" s="12">
        <f t="shared" si="1"/>
        <v>86</v>
      </c>
      <c r="AG93" s="7">
        <v>80</v>
      </c>
      <c r="AH93" s="7"/>
      <c r="AI93" s="7">
        <v>100</v>
      </c>
      <c r="AJ93" s="7" t="s">
        <v>674</v>
      </c>
      <c r="AK93" s="7">
        <v>80</v>
      </c>
      <c r="AL93" s="7"/>
      <c r="AM93" s="7">
        <v>80</v>
      </c>
      <c r="AN93" s="7"/>
      <c r="AO93" s="63">
        <v>5.8</v>
      </c>
      <c r="AP93" s="58">
        <v>1600</v>
      </c>
      <c r="AQ93" s="58">
        <f>AVERAGE(350,330)</f>
        <v>340</v>
      </c>
      <c r="AR93" s="58">
        <f>AVERAGE(350,330)</f>
        <v>340</v>
      </c>
      <c r="AS93" s="30">
        <v>21692</v>
      </c>
      <c r="AT93" s="30">
        <v>9280</v>
      </c>
      <c r="AU93" s="30">
        <v>30972</v>
      </c>
      <c r="AV93" s="197">
        <v>21692</v>
      </c>
      <c r="AW93" s="197">
        <v>9280</v>
      </c>
      <c r="AX93" s="197">
        <v>30972</v>
      </c>
      <c r="AY93" s="203">
        <v>13379.56</v>
      </c>
      <c r="AZ93" s="203">
        <v>11309.56</v>
      </c>
      <c r="BA93" s="203">
        <f>13379.56+11309.56</f>
        <v>24689.119999999999</v>
      </c>
      <c r="BB93" s="41" t="s">
        <v>696</v>
      </c>
      <c r="BC93" s="191" t="s">
        <v>676</v>
      </c>
      <c r="BD93" s="41">
        <v>3</v>
      </c>
      <c r="BE93" s="30"/>
      <c r="BF93" s="186"/>
      <c r="BG93" s="183"/>
      <c r="BH93" s="183"/>
    </row>
    <row r="94" spans="1:60" ht="30" hidden="1" customHeight="1">
      <c r="A94" s="118" t="s">
        <v>122</v>
      </c>
      <c r="B94" s="116" t="s">
        <v>697</v>
      </c>
      <c r="C94" s="116"/>
      <c r="D94" s="116" t="s">
        <v>698</v>
      </c>
      <c r="E94" s="117" t="s">
        <v>126</v>
      </c>
      <c r="F94" s="117" t="s">
        <v>127</v>
      </c>
      <c r="G94" s="116"/>
      <c r="H94" s="119"/>
      <c r="I94" s="118"/>
      <c r="J94" s="41" t="s">
        <v>110</v>
      </c>
      <c r="K94" s="41">
        <v>0</v>
      </c>
      <c r="L94" s="41" t="s">
        <v>110</v>
      </c>
      <c r="M94" s="41">
        <v>0</v>
      </c>
      <c r="N94" s="39" t="s">
        <v>115</v>
      </c>
      <c r="O94" s="39">
        <v>0</v>
      </c>
      <c r="P94" s="5" t="s">
        <v>111</v>
      </c>
      <c r="Q94" s="41"/>
      <c r="R94" s="5" t="s">
        <v>130</v>
      </c>
      <c r="S94" s="41">
        <v>2</v>
      </c>
      <c r="T94" s="41" t="s">
        <v>130</v>
      </c>
      <c r="U94" s="41" t="s">
        <v>130</v>
      </c>
      <c r="V94" s="41"/>
      <c r="W94" s="177">
        <v>45790</v>
      </c>
      <c r="X94" s="177">
        <v>45791</v>
      </c>
      <c r="Y94" s="41"/>
      <c r="Z94" s="42"/>
      <c r="AA94" s="37"/>
      <c r="AB94" s="42"/>
      <c r="AC94" s="42"/>
      <c r="AD94" s="51"/>
      <c r="AE94" s="51"/>
      <c r="AF94" s="12">
        <f t="shared" si="1"/>
        <v>80</v>
      </c>
      <c r="AG94" s="7">
        <v>80</v>
      </c>
      <c r="AH94" s="7"/>
      <c r="AI94" s="7">
        <v>80</v>
      </c>
      <c r="AJ94" s="7"/>
      <c r="AK94" s="7">
        <v>80</v>
      </c>
      <c r="AL94" s="7"/>
      <c r="AM94" s="7">
        <v>80</v>
      </c>
      <c r="AN94" s="7"/>
      <c r="AO94" s="63">
        <v>5.8</v>
      </c>
      <c r="AP94" s="58">
        <v>0</v>
      </c>
      <c r="AQ94" s="58">
        <v>0</v>
      </c>
      <c r="AR94" s="58">
        <v>0</v>
      </c>
      <c r="AS94" s="30">
        <v>0</v>
      </c>
      <c r="AT94" s="30">
        <v>0</v>
      </c>
      <c r="AU94" s="30">
        <v>0</v>
      </c>
      <c r="AV94" s="197">
        <v>0</v>
      </c>
      <c r="AW94" s="197">
        <v>0</v>
      </c>
      <c r="AX94" s="197">
        <v>0</v>
      </c>
      <c r="AY94" s="203"/>
      <c r="AZ94" s="203"/>
      <c r="BA94" s="203">
        <v>0</v>
      </c>
      <c r="BB94" s="41"/>
      <c r="BC94" s="41"/>
      <c r="BD94" s="193"/>
      <c r="BE94" s="30"/>
      <c r="BF94" s="186"/>
      <c r="BG94" s="183"/>
      <c r="BH94" s="183"/>
    </row>
    <row r="95" spans="1:60" ht="30" hidden="1" customHeight="1">
      <c r="A95" s="41" t="s">
        <v>122</v>
      </c>
      <c r="B95" s="116" t="s">
        <v>689</v>
      </c>
      <c r="C95" s="116" t="s">
        <v>690</v>
      </c>
      <c r="D95" s="116" t="s">
        <v>691</v>
      </c>
      <c r="E95" s="117" t="s">
        <v>107</v>
      </c>
      <c r="F95" s="117" t="s">
        <v>340</v>
      </c>
      <c r="G95" s="116"/>
      <c r="H95" s="119"/>
      <c r="I95" s="118" t="s">
        <v>341</v>
      </c>
      <c r="J95" s="41" t="s">
        <v>110</v>
      </c>
      <c r="K95" s="41">
        <v>1</v>
      </c>
      <c r="L95" s="41" t="s">
        <v>110</v>
      </c>
      <c r="M95" s="41">
        <v>1</v>
      </c>
      <c r="N95" s="39"/>
      <c r="O95" s="39"/>
      <c r="P95" s="41" t="s">
        <v>111</v>
      </c>
      <c r="Q95" s="41">
        <v>1</v>
      </c>
      <c r="R95" s="5" t="s">
        <v>112</v>
      </c>
      <c r="S95" s="41">
        <v>5</v>
      </c>
      <c r="T95" s="41" t="s">
        <v>218</v>
      </c>
      <c r="U95" s="41" t="s">
        <v>219</v>
      </c>
      <c r="V95" s="41"/>
      <c r="W95" s="174">
        <v>45801</v>
      </c>
      <c r="X95" s="174">
        <v>45808</v>
      </c>
      <c r="Y95" s="41"/>
      <c r="Z95" s="42" t="s">
        <v>116</v>
      </c>
      <c r="AA95" s="37" t="s">
        <v>699</v>
      </c>
      <c r="AB95" s="42" t="s">
        <v>118</v>
      </c>
      <c r="AC95" s="42" t="s">
        <v>700</v>
      </c>
      <c r="AD95" s="51"/>
      <c r="AE95" s="51"/>
      <c r="AF95" s="12">
        <f t="shared" si="1"/>
        <v>72</v>
      </c>
      <c r="AG95" s="7">
        <v>80</v>
      </c>
      <c r="AH95" s="7"/>
      <c r="AI95" s="7">
        <v>80</v>
      </c>
      <c r="AJ95" s="7"/>
      <c r="AK95" s="7">
        <v>40</v>
      </c>
      <c r="AL95" s="7"/>
      <c r="AM95" s="7">
        <v>80</v>
      </c>
      <c r="AN95" s="7"/>
      <c r="AO95" s="63">
        <v>5.8</v>
      </c>
      <c r="AP95" s="58">
        <v>1600</v>
      </c>
      <c r="AQ95" s="58">
        <v>310</v>
      </c>
      <c r="AR95" s="58">
        <v>310</v>
      </c>
      <c r="AS95" s="30">
        <v>14384</v>
      </c>
      <c r="AT95" s="30">
        <v>9280</v>
      </c>
      <c r="AU95" s="30">
        <v>23664</v>
      </c>
      <c r="AV95" s="197">
        <v>14384</v>
      </c>
      <c r="AW95" s="197">
        <v>9280</v>
      </c>
      <c r="AX95" s="197">
        <v>23664</v>
      </c>
      <c r="AY95" s="203">
        <v>11981.56</v>
      </c>
      <c r="AZ95" s="203">
        <v>5872.17</v>
      </c>
      <c r="BA95" s="203">
        <f>11981.56+5872.17</f>
        <v>17853.73</v>
      </c>
      <c r="BB95" s="41" t="s">
        <v>701</v>
      </c>
      <c r="BC95" s="41" t="s">
        <v>702</v>
      </c>
      <c r="BD95" s="192">
        <v>3</v>
      </c>
      <c r="BE95" s="30"/>
      <c r="BF95" s="186"/>
      <c r="BG95" s="183"/>
      <c r="BH95" s="183"/>
    </row>
    <row r="96" spans="1:60" ht="30" hidden="1" customHeight="1">
      <c r="A96" s="165" t="s">
        <v>122</v>
      </c>
      <c r="B96" s="150" t="s">
        <v>689</v>
      </c>
      <c r="C96" s="150" t="s">
        <v>690</v>
      </c>
      <c r="D96" s="150" t="s">
        <v>691</v>
      </c>
      <c r="E96" s="151" t="s">
        <v>107</v>
      </c>
      <c r="F96" s="151" t="s">
        <v>340</v>
      </c>
      <c r="G96" s="150"/>
      <c r="H96" s="153"/>
      <c r="I96" s="118" t="s">
        <v>341</v>
      </c>
      <c r="J96" s="165" t="s">
        <v>110</v>
      </c>
      <c r="K96" s="165">
        <v>1</v>
      </c>
      <c r="L96" s="165" t="s">
        <v>110</v>
      </c>
      <c r="M96" s="165">
        <v>1</v>
      </c>
      <c r="N96" s="39" t="s">
        <v>115</v>
      </c>
      <c r="O96" s="39">
        <v>2</v>
      </c>
      <c r="P96" s="41" t="s">
        <v>111</v>
      </c>
      <c r="Q96" s="41">
        <v>1</v>
      </c>
      <c r="R96" s="149" t="s">
        <v>112</v>
      </c>
      <c r="S96" s="165">
        <v>5</v>
      </c>
      <c r="T96" s="5" t="s">
        <v>218</v>
      </c>
      <c r="U96" s="165" t="s">
        <v>219</v>
      </c>
      <c r="V96" s="165"/>
      <c r="W96" s="178">
        <v>45801</v>
      </c>
      <c r="X96" s="178">
        <v>45808</v>
      </c>
      <c r="Y96" s="165"/>
      <c r="Z96" s="156" t="s">
        <v>116</v>
      </c>
      <c r="AA96" s="166" t="s">
        <v>699</v>
      </c>
      <c r="AB96" s="156" t="s">
        <v>118</v>
      </c>
      <c r="AC96" s="156" t="s">
        <v>700</v>
      </c>
      <c r="AD96" s="51"/>
      <c r="AE96" s="51"/>
      <c r="AF96" s="12">
        <f>AG96*$AG$2+AI96*$AI$2+AK96*$AK$2+AM96*$AM$2</f>
        <v>72</v>
      </c>
      <c r="AG96" s="7">
        <v>80</v>
      </c>
      <c r="AH96" s="7"/>
      <c r="AI96" s="7">
        <v>80</v>
      </c>
      <c r="AJ96" s="7"/>
      <c r="AK96" s="7">
        <v>40</v>
      </c>
      <c r="AL96" s="7"/>
      <c r="AM96" s="7">
        <v>80</v>
      </c>
      <c r="AN96" s="7"/>
      <c r="AO96" s="63">
        <v>5.8</v>
      </c>
      <c r="AP96" s="58">
        <v>1600</v>
      </c>
      <c r="AQ96" s="58">
        <v>310</v>
      </c>
      <c r="AR96" s="58">
        <v>310</v>
      </c>
      <c r="AS96" s="30">
        <v>14384</v>
      </c>
      <c r="AT96" s="30">
        <v>9280</v>
      </c>
      <c r="AU96" s="30">
        <v>23664</v>
      </c>
      <c r="AV96" s="200">
        <v>14384</v>
      </c>
      <c r="AW96" s="200">
        <v>9280</v>
      </c>
      <c r="AX96" s="200">
        <v>23664</v>
      </c>
      <c r="AY96" s="203">
        <v>13556.89</v>
      </c>
      <c r="AZ96" s="203">
        <v>5670.34</v>
      </c>
      <c r="BA96" s="203">
        <f>13556.89+5670.34</f>
        <v>19227.23</v>
      </c>
      <c r="BB96" s="165" t="s">
        <v>703</v>
      </c>
      <c r="BC96" s="165" t="s">
        <v>702</v>
      </c>
      <c r="BD96" s="195">
        <v>3</v>
      </c>
      <c r="BE96" s="30"/>
      <c r="BF96" s="186"/>
      <c r="BG96" s="183"/>
      <c r="BH96" s="183"/>
    </row>
    <row r="97" spans="1:60" ht="30" hidden="1" customHeight="1">
      <c r="A97" s="41" t="s">
        <v>122</v>
      </c>
      <c r="B97" s="116" t="s">
        <v>704</v>
      </c>
      <c r="C97" s="116" t="s">
        <v>352</v>
      </c>
      <c r="D97" s="116" t="s">
        <v>705</v>
      </c>
      <c r="E97" s="117" t="s">
        <v>274</v>
      </c>
      <c r="F97" s="117" t="s">
        <v>275</v>
      </c>
      <c r="G97" s="116"/>
      <c r="H97" s="119"/>
      <c r="I97" s="118" t="s">
        <v>129</v>
      </c>
      <c r="J97" s="41" t="s">
        <v>110</v>
      </c>
      <c r="K97" s="41">
        <v>1</v>
      </c>
      <c r="L97" s="41" t="s">
        <v>110</v>
      </c>
      <c r="M97" s="41">
        <v>1</v>
      </c>
      <c r="N97" s="39" t="s">
        <v>115</v>
      </c>
      <c r="O97" s="39">
        <v>1</v>
      </c>
      <c r="P97" s="5" t="s">
        <v>111</v>
      </c>
      <c r="Q97" s="41">
        <v>1</v>
      </c>
      <c r="R97" s="5" t="s">
        <v>112</v>
      </c>
      <c r="S97" s="41">
        <v>4</v>
      </c>
      <c r="T97" s="41" t="s">
        <v>113</v>
      </c>
      <c r="U97" s="41" t="s">
        <v>114</v>
      </c>
      <c r="V97" s="41"/>
      <c r="W97" s="174">
        <v>45752</v>
      </c>
      <c r="X97" s="174">
        <v>45759</v>
      </c>
      <c r="Y97" s="41"/>
      <c r="Z97" s="42" t="s">
        <v>116</v>
      </c>
      <c r="AA97" s="37" t="s">
        <v>706</v>
      </c>
      <c r="AB97" s="42" t="s">
        <v>118</v>
      </c>
      <c r="AC97" s="42" t="s">
        <v>707</v>
      </c>
      <c r="AD97" s="51"/>
      <c r="AE97" s="51"/>
      <c r="AF97" s="12">
        <f t="shared" si="1"/>
        <v>72</v>
      </c>
      <c r="AG97" s="7">
        <v>80</v>
      </c>
      <c r="AH97" s="7" t="s">
        <v>708</v>
      </c>
      <c r="AI97" s="7">
        <v>80</v>
      </c>
      <c r="AJ97" s="7" t="s">
        <v>709</v>
      </c>
      <c r="AK97" s="7">
        <v>40</v>
      </c>
      <c r="AL97" s="7" t="s">
        <v>710</v>
      </c>
      <c r="AM97" s="7">
        <v>80</v>
      </c>
      <c r="AN97" s="7"/>
      <c r="AO97" s="63">
        <v>5.8</v>
      </c>
      <c r="AP97" s="58">
        <v>1600</v>
      </c>
      <c r="AQ97" s="58">
        <v>320</v>
      </c>
      <c r="AR97" s="58">
        <v>320</v>
      </c>
      <c r="AS97" s="30">
        <v>14848</v>
      </c>
      <c r="AT97" s="30">
        <v>9280</v>
      </c>
      <c r="AU97" s="30">
        <v>24128</v>
      </c>
      <c r="AV97" s="197">
        <v>14848</v>
      </c>
      <c r="AW97" s="197">
        <v>9280</v>
      </c>
      <c r="AX97" s="197">
        <v>24128</v>
      </c>
      <c r="AY97" s="203">
        <v>15331.7</v>
      </c>
      <c r="AZ97" s="203">
        <v>8566.19</v>
      </c>
      <c r="BA97" s="203">
        <f>15331.7+8566.19</f>
        <v>23897.89</v>
      </c>
      <c r="BB97" s="41" t="s">
        <v>711</v>
      </c>
      <c r="BC97" s="191" t="s">
        <v>712</v>
      </c>
      <c r="BD97" s="190">
        <v>3</v>
      </c>
      <c r="BE97" s="30"/>
      <c r="BF97" s="186"/>
      <c r="BG97" s="183"/>
      <c r="BH97" s="183"/>
    </row>
    <row r="98" spans="1:60" ht="30" hidden="1" customHeight="1">
      <c r="A98" s="41" t="s">
        <v>713</v>
      </c>
      <c r="B98" s="116" t="s">
        <v>714</v>
      </c>
      <c r="C98" s="116" t="s">
        <v>715</v>
      </c>
      <c r="D98" s="116" t="s">
        <v>716</v>
      </c>
      <c r="E98" s="117" t="s">
        <v>402</v>
      </c>
      <c r="F98" s="117" t="s">
        <v>396</v>
      </c>
      <c r="G98" s="116" t="s">
        <v>717</v>
      </c>
      <c r="H98" s="119" t="s">
        <v>591</v>
      </c>
      <c r="I98" s="118" t="s">
        <v>341</v>
      </c>
      <c r="J98" s="41" t="s">
        <v>110</v>
      </c>
      <c r="K98" s="41">
        <v>1</v>
      </c>
      <c r="L98" s="41" t="s">
        <v>110</v>
      </c>
      <c r="M98" s="41">
        <v>1</v>
      </c>
      <c r="N98" s="39" t="s">
        <v>115</v>
      </c>
      <c r="O98" s="39">
        <v>1</v>
      </c>
      <c r="P98" s="5" t="s">
        <v>111</v>
      </c>
      <c r="Q98" s="41">
        <v>1</v>
      </c>
      <c r="R98" s="5" t="s">
        <v>112</v>
      </c>
      <c r="S98" s="41">
        <v>3</v>
      </c>
      <c r="T98" s="41" t="s">
        <v>718</v>
      </c>
      <c r="U98" s="41" t="s">
        <v>719</v>
      </c>
      <c r="V98" s="41"/>
      <c r="W98" s="174">
        <v>45803</v>
      </c>
      <c r="X98" s="174">
        <v>45805</v>
      </c>
      <c r="Y98" s="41"/>
      <c r="Z98" s="42" t="s">
        <v>313</v>
      </c>
      <c r="AA98" s="42" t="s">
        <v>720</v>
      </c>
      <c r="AB98" s="42" t="s">
        <v>345</v>
      </c>
      <c r="AC98" s="42"/>
      <c r="AD98" s="42"/>
      <c r="AE98" s="42"/>
      <c r="AF98" s="12">
        <f t="shared" si="1"/>
        <v>64</v>
      </c>
      <c r="AG98" s="7">
        <v>60</v>
      </c>
      <c r="AH98" s="7" t="s">
        <v>270</v>
      </c>
      <c r="AI98" s="7">
        <v>80</v>
      </c>
      <c r="AJ98" s="7" t="s">
        <v>721</v>
      </c>
      <c r="AK98" s="7">
        <v>40</v>
      </c>
      <c r="AL98" s="7"/>
      <c r="AM98" s="7">
        <v>80</v>
      </c>
      <c r="AN98" s="7"/>
      <c r="AO98" s="63">
        <v>5.8</v>
      </c>
      <c r="AP98" s="58">
        <v>1600</v>
      </c>
      <c r="AQ98" s="58">
        <v>460</v>
      </c>
      <c r="AR98" s="58">
        <v>460</v>
      </c>
      <c r="AS98" s="30">
        <v>16008</v>
      </c>
      <c r="AT98" s="30">
        <v>9280</v>
      </c>
      <c r="AU98" s="30">
        <v>25288</v>
      </c>
      <c r="AV98" s="197">
        <v>16008</v>
      </c>
      <c r="AW98" s="197">
        <v>9280</v>
      </c>
      <c r="AX98" s="197">
        <v>25288</v>
      </c>
      <c r="AY98" s="203">
        <v>10226.629999999999</v>
      </c>
      <c r="AZ98" s="203">
        <v>6325.13</v>
      </c>
      <c r="BA98" s="203">
        <f>10226.63+6325.13</f>
        <v>16551.759999999998</v>
      </c>
      <c r="BB98" s="41" t="s">
        <v>403</v>
      </c>
      <c r="BC98" s="41" t="s">
        <v>722</v>
      </c>
      <c r="BD98" s="192">
        <v>3</v>
      </c>
      <c r="BE98" s="30"/>
      <c r="BF98" s="186"/>
      <c r="BG98" s="183"/>
      <c r="BH98" s="183"/>
    </row>
    <row r="99" spans="1:60" ht="30" hidden="1" customHeight="1">
      <c r="A99" s="41" t="s">
        <v>723</v>
      </c>
      <c r="B99" s="120" t="s">
        <v>724</v>
      </c>
      <c r="C99" s="116">
        <v>2025</v>
      </c>
      <c r="D99" s="116"/>
      <c r="E99" s="117" t="s">
        <v>339</v>
      </c>
      <c r="F99" s="117" t="s">
        <v>340</v>
      </c>
      <c r="G99" s="120" t="s">
        <v>725</v>
      </c>
      <c r="H99" s="121"/>
      <c r="I99" s="41"/>
      <c r="J99" s="41" t="s">
        <v>110</v>
      </c>
      <c r="K99" s="41">
        <v>3</v>
      </c>
      <c r="L99" s="41" t="s">
        <v>110</v>
      </c>
      <c r="M99" s="41">
        <v>1</v>
      </c>
      <c r="N99" s="39" t="s">
        <v>115</v>
      </c>
      <c r="O99" s="39">
        <v>2</v>
      </c>
      <c r="P99" s="5" t="s">
        <v>111</v>
      </c>
      <c r="Q99" s="41"/>
      <c r="R99" s="5" t="s">
        <v>112</v>
      </c>
      <c r="S99" s="41">
        <v>3</v>
      </c>
      <c r="T99" s="41" t="s">
        <v>514</v>
      </c>
      <c r="U99" s="41"/>
      <c r="V99" s="41"/>
      <c r="W99" s="174">
        <v>45992</v>
      </c>
      <c r="X99" s="174">
        <v>45992</v>
      </c>
      <c r="Y99" s="41"/>
      <c r="Z99" s="42" t="s">
        <v>313</v>
      </c>
      <c r="AA99" s="37" t="s">
        <v>726</v>
      </c>
      <c r="AB99" s="42" t="s">
        <v>345</v>
      </c>
      <c r="AC99" s="42" t="s">
        <v>645</v>
      </c>
      <c r="AD99" s="42"/>
      <c r="AE99" s="42"/>
      <c r="AF99" s="12">
        <f t="shared" si="1"/>
        <v>64</v>
      </c>
      <c r="AG99" s="7">
        <v>60</v>
      </c>
      <c r="AH99" s="7"/>
      <c r="AI99" s="7">
        <v>80</v>
      </c>
      <c r="AJ99" s="7"/>
      <c r="AK99" s="7">
        <v>40</v>
      </c>
      <c r="AL99" s="7"/>
      <c r="AM99" s="7">
        <v>80</v>
      </c>
      <c r="AN99" s="7"/>
      <c r="AO99" s="63">
        <v>5.8</v>
      </c>
      <c r="AP99" s="58">
        <v>1600</v>
      </c>
      <c r="AQ99" s="58">
        <v>420</v>
      </c>
      <c r="AR99" s="58">
        <v>420</v>
      </c>
      <c r="AS99" s="30">
        <v>43848</v>
      </c>
      <c r="AT99" s="30">
        <v>27840</v>
      </c>
      <c r="AU99" s="30">
        <v>71688</v>
      </c>
      <c r="AV99" s="197">
        <v>14616</v>
      </c>
      <c r="AW99" s="197">
        <v>9280</v>
      </c>
      <c r="AX99" s="197">
        <v>23896</v>
      </c>
      <c r="AY99" s="203"/>
      <c r="AZ99" s="203"/>
      <c r="BA99" s="203">
        <v>0</v>
      </c>
      <c r="BB99" s="41" t="s">
        <v>727</v>
      </c>
      <c r="BC99" s="41"/>
      <c r="BD99" s="41">
        <v>3</v>
      </c>
      <c r="BE99" s="30"/>
      <c r="BF99" s="186"/>
      <c r="BG99" s="183"/>
      <c r="BH99" s="183"/>
    </row>
    <row r="100" spans="1:60" ht="30" hidden="1" customHeight="1">
      <c r="A100" s="41" t="s">
        <v>122</v>
      </c>
      <c r="B100" s="116" t="s">
        <v>728</v>
      </c>
      <c r="C100" s="116" t="s">
        <v>729</v>
      </c>
      <c r="D100" s="116" t="s">
        <v>730</v>
      </c>
      <c r="E100" s="117" t="s">
        <v>126</v>
      </c>
      <c r="F100" s="117" t="s">
        <v>152</v>
      </c>
      <c r="G100" s="116"/>
      <c r="H100" s="119"/>
      <c r="I100" s="118" t="s">
        <v>341</v>
      </c>
      <c r="J100" s="41" t="s">
        <v>110</v>
      </c>
      <c r="K100" s="41">
        <v>2</v>
      </c>
      <c r="L100" s="41" t="s">
        <v>110</v>
      </c>
      <c r="M100" s="41">
        <v>1</v>
      </c>
      <c r="N100" s="39" t="s">
        <v>115</v>
      </c>
      <c r="O100" s="39">
        <v>1</v>
      </c>
      <c r="P100" s="5" t="s">
        <v>111</v>
      </c>
      <c r="Q100" s="41"/>
      <c r="R100" s="5" t="s">
        <v>112</v>
      </c>
      <c r="S100" s="41">
        <v>5</v>
      </c>
      <c r="T100" s="5" t="s">
        <v>218</v>
      </c>
      <c r="U100" s="41" t="s">
        <v>219</v>
      </c>
      <c r="V100" s="41"/>
      <c r="W100" s="174">
        <v>45810</v>
      </c>
      <c r="X100" s="174">
        <v>45814</v>
      </c>
      <c r="Y100" s="41"/>
      <c r="Z100" s="42" t="s">
        <v>220</v>
      </c>
      <c r="AA100" s="42" t="s">
        <v>731</v>
      </c>
      <c r="AB100" s="42" t="s">
        <v>118</v>
      </c>
      <c r="AC100" s="42" t="s">
        <v>370</v>
      </c>
      <c r="AD100" s="42"/>
      <c r="AE100" s="42"/>
      <c r="AF100" s="12">
        <f t="shared" si="1"/>
        <v>86</v>
      </c>
      <c r="AG100" s="7">
        <v>80</v>
      </c>
      <c r="AH100" s="7"/>
      <c r="AI100" s="7">
        <v>100</v>
      </c>
      <c r="AJ100" s="7"/>
      <c r="AK100" s="7">
        <v>80</v>
      </c>
      <c r="AL100" s="7"/>
      <c r="AM100" s="7">
        <v>80</v>
      </c>
      <c r="AN100" s="7"/>
      <c r="AO100" s="63">
        <v>5.8</v>
      </c>
      <c r="AP100" s="58">
        <v>1600</v>
      </c>
      <c r="AQ100" s="58">
        <v>390</v>
      </c>
      <c r="AR100" s="58">
        <v>390</v>
      </c>
      <c r="AS100" s="30">
        <v>36192</v>
      </c>
      <c r="AT100" s="30">
        <v>18560</v>
      </c>
      <c r="AU100" s="30">
        <v>54752</v>
      </c>
      <c r="AV100" s="197">
        <f>36192/2</f>
        <v>18096</v>
      </c>
      <c r="AW100" s="197">
        <f>18560/2</f>
        <v>9280</v>
      </c>
      <c r="AX100" s="197">
        <f>54752/2</f>
        <v>27376</v>
      </c>
      <c r="AY100" s="203">
        <v>12823.47</v>
      </c>
      <c r="AZ100" s="203">
        <v>6608.94</v>
      </c>
      <c r="BA100" s="203">
        <f>12823.47+6608.94</f>
        <v>19432.41</v>
      </c>
      <c r="BB100" s="41" t="s">
        <v>732</v>
      </c>
      <c r="BC100" s="191" t="s">
        <v>733</v>
      </c>
      <c r="BD100" s="189">
        <v>3</v>
      </c>
      <c r="BE100" s="30"/>
      <c r="BF100" s="186"/>
      <c r="BG100" s="183"/>
      <c r="BH100" s="183"/>
    </row>
    <row r="101" spans="1:60" ht="30" hidden="1" customHeight="1">
      <c r="A101" s="41" t="s">
        <v>122</v>
      </c>
      <c r="B101" s="116" t="s">
        <v>728</v>
      </c>
      <c r="C101" s="116" t="s">
        <v>729</v>
      </c>
      <c r="D101" s="116" t="s">
        <v>730</v>
      </c>
      <c r="E101" s="117" t="s">
        <v>126</v>
      </c>
      <c r="F101" s="117" t="s">
        <v>152</v>
      </c>
      <c r="G101" s="116"/>
      <c r="H101" s="119"/>
      <c r="I101" s="118" t="s">
        <v>341</v>
      </c>
      <c r="J101" s="41" t="s">
        <v>110</v>
      </c>
      <c r="K101" s="41">
        <v>2</v>
      </c>
      <c r="L101" s="41" t="s">
        <v>110</v>
      </c>
      <c r="M101" s="41">
        <v>1</v>
      </c>
      <c r="N101" s="39" t="s">
        <v>115</v>
      </c>
      <c r="O101" s="39">
        <v>1</v>
      </c>
      <c r="P101" s="5" t="s">
        <v>111</v>
      </c>
      <c r="Q101" s="41"/>
      <c r="R101" s="5" t="s">
        <v>112</v>
      </c>
      <c r="S101" s="41">
        <v>5</v>
      </c>
      <c r="T101" s="5" t="s">
        <v>218</v>
      </c>
      <c r="U101" s="41" t="s">
        <v>219</v>
      </c>
      <c r="V101" s="41"/>
      <c r="W101" s="174">
        <v>45810</v>
      </c>
      <c r="X101" s="174">
        <v>45814</v>
      </c>
      <c r="Y101" s="41"/>
      <c r="Z101" s="42" t="s">
        <v>220</v>
      </c>
      <c r="AA101" s="42" t="s">
        <v>731</v>
      </c>
      <c r="AB101" s="42" t="s">
        <v>614</v>
      </c>
      <c r="AC101" s="42" t="s">
        <v>370</v>
      </c>
      <c r="AD101" s="42"/>
      <c r="AE101" s="42"/>
      <c r="AF101" s="12">
        <f t="shared" si="1"/>
        <v>86</v>
      </c>
      <c r="AG101" s="7">
        <v>80</v>
      </c>
      <c r="AH101" s="7"/>
      <c r="AI101" s="7">
        <v>100</v>
      </c>
      <c r="AJ101" s="7"/>
      <c r="AK101" s="7">
        <v>80</v>
      </c>
      <c r="AL101" s="7"/>
      <c r="AM101" s="7">
        <v>80</v>
      </c>
      <c r="AN101" s="7"/>
      <c r="AO101" s="63">
        <v>5.8</v>
      </c>
      <c r="AP101" s="58">
        <v>1600</v>
      </c>
      <c r="AQ101" s="58">
        <v>390</v>
      </c>
      <c r="AR101" s="58">
        <v>390</v>
      </c>
      <c r="AS101" s="30">
        <v>36192</v>
      </c>
      <c r="AT101" s="30">
        <v>18560</v>
      </c>
      <c r="AU101" s="30">
        <v>54752</v>
      </c>
      <c r="AV101" s="197">
        <f>36192/2</f>
        <v>18096</v>
      </c>
      <c r="AW101" s="197">
        <f>18560/2</f>
        <v>9280</v>
      </c>
      <c r="AX101" s="197">
        <f>54752/2</f>
        <v>27376</v>
      </c>
      <c r="AY101" s="203">
        <v>12158.33</v>
      </c>
      <c r="AZ101" s="203">
        <v>9054.25</v>
      </c>
      <c r="BA101" s="203">
        <f>12158.33+9054.25</f>
        <v>21212.58</v>
      </c>
      <c r="BB101" s="41" t="s">
        <v>734</v>
      </c>
      <c r="BC101" s="191" t="s">
        <v>733</v>
      </c>
      <c r="BD101" s="189">
        <v>3</v>
      </c>
      <c r="BE101" s="30"/>
      <c r="BF101" s="186"/>
      <c r="BG101" s="183"/>
      <c r="BH101" s="183"/>
    </row>
    <row r="102" spans="1:60" ht="30" hidden="1" customHeight="1">
      <c r="A102" s="41" t="s">
        <v>735</v>
      </c>
      <c r="B102" s="116" t="s">
        <v>736</v>
      </c>
      <c r="C102" s="116" t="s">
        <v>737</v>
      </c>
      <c r="D102" s="116" t="s">
        <v>738</v>
      </c>
      <c r="E102" s="117" t="s">
        <v>126</v>
      </c>
      <c r="F102" s="117" t="s">
        <v>152</v>
      </c>
      <c r="G102" s="116" t="s">
        <v>739</v>
      </c>
      <c r="H102" s="119" t="s">
        <v>740</v>
      </c>
      <c r="I102" s="118" t="s">
        <v>341</v>
      </c>
      <c r="J102" s="41" t="s">
        <v>110</v>
      </c>
      <c r="K102" s="41">
        <v>2</v>
      </c>
      <c r="L102" s="41" t="s">
        <v>110</v>
      </c>
      <c r="M102" s="41">
        <v>2</v>
      </c>
      <c r="N102" s="39" t="s">
        <v>115</v>
      </c>
      <c r="O102" s="39">
        <v>1</v>
      </c>
      <c r="P102" s="5" t="s">
        <v>111</v>
      </c>
      <c r="Q102" s="41">
        <v>1</v>
      </c>
      <c r="R102" s="41" t="s">
        <v>112</v>
      </c>
      <c r="S102" s="41">
        <v>5</v>
      </c>
      <c r="T102" s="41" t="s">
        <v>741</v>
      </c>
      <c r="U102" s="41" t="s">
        <v>742</v>
      </c>
      <c r="V102" s="41" t="s">
        <v>115</v>
      </c>
      <c r="W102" s="174">
        <v>45810</v>
      </c>
      <c r="X102" s="174">
        <v>45814</v>
      </c>
      <c r="Y102" s="41"/>
      <c r="Z102" s="42" t="s">
        <v>141</v>
      </c>
      <c r="AA102" s="42" t="s">
        <v>743</v>
      </c>
      <c r="AB102" s="42" t="s">
        <v>673</v>
      </c>
      <c r="AC102" s="42" t="s">
        <v>326</v>
      </c>
      <c r="AD102" s="42" t="s">
        <v>744</v>
      </c>
      <c r="AE102" s="42"/>
      <c r="AF102" s="12">
        <f t="shared" si="1"/>
        <v>72</v>
      </c>
      <c r="AG102" s="7">
        <v>60</v>
      </c>
      <c r="AH102" s="7"/>
      <c r="AI102" s="7">
        <v>80</v>
      </c>
      <c r="AJ102" s="7" t="s">
        <v>745</v>
      </c>
      <c r="AK102" s="7">
        <v>80</v>
      </c>
      <c r="AL102" s="7" t="s">
        <v>746</v>
      </c>
      <c r="AM102" s="7">
        <v>80</v>
      </c>
      <c r="AN102" s="7"/>
      <c r="AO102" s="63">
        <v>5.8</v>
      </c>
      <c r="AP102" s="58">
        <v>800</v>
      </c>
      <c r="AQ102" s="58">
        <v>270</v>
      </c>
      <c r="AR102" s="58">
        <v>270</v>
      </c>
      <c r="AS102" s="30">
        <v>21924</v>
      </c>
      <c r="AT102" s="30">
        <v>9280</v>
      </c>
      <c r="AU102" s="30">
        <v>31204</v>
      </c>
      <c r="AV102" s="197">
        <v>21924</v>
      </c>
      <c r="AW102" s="197">
        <v>9280</v>
      </c>
      <c r="AX102" s="197">
        <v>31204</v>
      </c>
      <c r="AY102" s="203">
        <v>16119.52</v>
      </c>
      <c r="AZ102" s="203">
        <v>7953.73</v>
      </c>
      <c r="BA102" s="203">
        <f>16119.52+7953.73</f>
        <v>24073.25</v>
      </c>
      <c r="BB102" s="41" t="s">
        <v>747</v>
      </c>
      <c r="BC102" s="191" t="s">
        <v>748</v>
      </c>
      <c r="BD102" s="189">
        <v>2</v>
      </c>
      <c r="BE102" s="30"/>
      <c r="BF102" s="186"/>
      <c r="BG102" s="183"/>
      <c r="BH102" s="183"/>
    </row>
    <row r="103" spans="1:60" ht="30" hidden="1" customHeight="1">
      <c r="A103" s="41" t="s">
        <v>735</v>
      </c>
      <c r="B103" s="116" t="s">
        <v>736</v>
      </c>
      <c r="C103" s="116" t="s">
        <v>737</v>
      </c>
      <c r="D103" s="116" t="s">
        <v>738</v>
      </c>
      <c r="E103" s="117" t="s">
        <v>176</v>
      </c>
      <c r="F103" s="117" t="s">
        <v>152</v>
      </c>
      <c r="G103" s="116" t="s">
        <v>749</v>
      </c>
      <c r="H103" s="119"/>
      <c r="I103" s="118" t="s">
        <v>341</v>
      </c>
      <c r="J103" s="41"/>
      <c r="K103" s="5"/>
      <c r="L103" s="41" t="s">
        <v>110</v>
      </c>
      <c r="M103" s="41">
        <v>0</v>
      </c>
      <c r="N103" s="39" t="s">
        <v>115</v>
      </c>
      <c r="O103" s="39">
        <v>1</v>
      </c>
      <c r="P103" s="41" t="s">
        <v>303</v>
      </c>
      <c r="Q103" s="41">
        <v>1</v>
      </c>
      <c r="R103" s="41" t="s">
        <v>112</v>
      </c>
      <c r="S103" s="5">
        <v>5</v>
      </c>
      <c r="T103" s="41" t="s">
        <v>741</v>
      </c>
      <c r="U103" s="41" t="s">
        <v>742</v>
      </c>
      <c r="V103" s="41" t="s">
        <v>115</v>
      </c>
      <c r="W103" s="174">
        <v>45810</v>
      </c>
      <c r="X103" s="174">
        <v>45814</v>
      </c>
      <c r="Y103" s="41"/>
      <c r="Z103" s="42" t="s">
        <v>141</v>
      </c>
      <c r="AA103" s="42" t="s">
        <v>743</v>
      </c>
      <c r="AB103" s="42"/>
      <c r="AC103" s="42" t="s">
        <v>326</v>
      </c>
      <c r="AD103" s="42" t="s">
        <v>744</v>
      </c>
      <c r="AE103" s="50"/>
      <c r="AF103" s="12">
        <f t="shared" si="1"/>
        <v>0</v>
      </c>
      <c r="AG103" s="7"/>
      <c r="AH103" s="7"/>
      <c r="AI103" s="7"/>
      <c r="AJ103" s="7"/>
      <c r="AK103" s="7"/>
      <c r="AL103" s="7"/>
      <c r="AM103" s="7"/>
      <c r="AN103" s="7"/>
      <c r="AO103" s="63">
        <v>5.8</v>
      </c>
      <c r="AP103" s="58">
        <v>800</v>
      </c>
      <c r="AQ103" s="58">
        <v>270</v>
      </c>
      <c r="AR103" s="58">
        <v>270</v>
      </c>
      <c r="AS103" s="30"/>
      <c r="AT103" s="30"/>
      <c r="AU103" s="30"/>
      <c r="AV103" s="199"/>
      <c r="AW103" s="199"/>
      <c r="AX103" s="199"/>
      <c r="AY103" s="203">
        <v>10597.02</v>
      </c>
      <c r="AZ103" s="203">
        <v>6629.29</v>
      </c>
      <c r="BA103" s="203">
        <f>10597.02+6629.29</f>
        <v>17226.310000000001</v>
      </c>
      <c r="BB103" s="189" t="s">
        <v>750</v>
      </c>
      <c r="BC103" s="191" t="s">
        <v>748</v>
      </c>
      <c r="BD103" s="193"/>
      <c r="BE103" s="30"/>
      <c r="BF103" s="186"/>
      <c r="BG103" s="183"/>
      <c r="BH103" s="183"/>
    </row>
    <row r="104" spans="1:60" ht="30" hidden="1" customHeight="1">
      <c r="A104" s="41" t="s">
        <v>122</v>
      </c>
      <c r="B104" s="116" t="s">
        <v>751</v>
      </c>
      <c r="C104" s="116" t="s">
        <v>752</v>
      </c>
      <c r="D104" s="116" t="s">
        <v>753</v>
      </c>
      <c r="E104" s="117" t="s">
        <v>126</v>
      </c>
      <c r="F104" s="117" t="s">
        <v>127</v>
      </c>
      <c r="G104" s="116" t="s">
        <v>754</v>
      </c>
      <c r="H104" s="119"/>
      <c r="I104" s="118"/>
      <c r="J104" s="41" t="s">
        <v>110</v>
      </c>
      <c r="K104" s="41">
        <v>1</v>
      </c>
      <c r="L104" s="41" t="s">
        <v>110</v>
      </c>
      <c r="M104" s="41">
        <v>1</v>
      </c>
      <c r="N104" s="39" t="s">
        <v>115</v>
      </c>
      <c r="O104" s="39">
        <v>1</v>
      </c>
      <c r="P104" s="5" t="s">
        <v>111</v>
      </c>
      <c r="Q104" s="41"/>
      <c r="R104" s="5" t="s">
        <v>112</v>
      </c>
      <c r="S104" s="41">
        <v>5</v>
      </c>
      <c r="T104" s="41" t="s">
        <v>755</v>
      </c>
      <c r="U104" s="41" t="s">
        <v>756</v>
      </c>
      <c r="V104" s="174"/>
      <c r="W104" s="174">
        <v>45811</v>
      </c>
      <c r="X104" s="174">
        <v>45814</v>
      </c>
      <c r="Y104" s="41"/>
      <c r="Z104" s="42" t="s">
        <v>116</v>
      </c>
      <c r="AA104" s="42" t="s">
        <v>757</v>
      </c>
      <c r="AB104" s="42" t="s">
        <v>118</v>
      </c>
      <c r="AC104" s="42" t="s">
        <v>132</v>
      </c>
      <c r="AD104" s="42"/>
      <c r="AE104" s="42"/>
      <c r="AF104" s="12">
        <f t="shared" si="1"/>
        <v>72</v>
      </c>
      <c r="AG104" s="7">
        <v>80</v>
      </c>
      <c r="AH104" s="7"/>
      <c r="AI104" s="7">
        <v>80</v>
      </c>
      <c r="AJ104" s="7" t="s">
        <v>758</v>
      </c>
      <c r="AK104" s="7">
        <v>40</v>
      </c>
      <c r="AL104" s="7"/>
      <c r="AM104" s="7">
        <v>80</v>
      </c>
      <c r="AN104" s="7"/>
      <c r="AO104" s="63">
        <v>5.8</v>
      </c>
      <c r="AP104" s="58">
        <v>1600</v>
      </c>
      <c r="AQ104" s="58">
        <v>310</v>
      </c>
      <c r="AR104" s="58">
        <v>310</v>
      </c>
      <c r="AS104" s="30">
        <v>14384</v>
      </c>
      <c r="AT104" s="30">
        <v>9280</v>
      </c>
      <c r="AU104" s="30">
        <v>23664</v>
      </c>
      <c r="AV104" s="197">
        <v>14384</v>
      </c>
      <c r="AW104" s="197">
        <v>9280</v>
      </c>
      <c r="AX104" s="197">
        <v>23664</v>
      </c>
      <c r="AY104" s="203"/>
      <c r="AZ104" s="203"/>
      <c r="BA104" s="203">
        <v>0</v>
      </c>
      <c r="BB104" s="41" t="s">
        <v>759</v>
      </c>
      <c r="BC104" s="191"/>
      <c r="BD104" s="189">
        <v>3</v>
      </c>
      <c r="BE104" s="30"/>
      <c r="BF104" s="186"/>
      <c r="BG104" s="183"/>
      <c r="BH104" s="183"/>
    </row>
    <row r="105" spans="1:60" ht="30" hidden="1" customHeight="1">
      <c r="A105" s="41" t="s">
        <v>760</v>
      </c>
      <c r="B105" s="116" t="s">
        <v>761</v>
      </c>
      <c r="C105" s="116"/>
      <c r="D105" s="116" t="s">
        <v>762</v>
      </c>
      <c r="E105" s="117" t="s">
        <v>201</v>
      </c>
      <c r="F105" s="117" t="s">
        <v>166</v>
      </c>
      <c r="G105" s="144" t="s">
        <v>763</v>
      </c>
      <c r="H105" s="119"/>
      <c r="I105" s="118"/>
      <c r="J105" s="41" t="s">
        <v>110</v>
      </c>
      <c r="K105" s="41">
        <v>1</v>
      </c>
      <c r="L105" s="41" t="s">
        <v>110</v>
      </c>
      <c r="M105" s="41">
        <v>1</v>
      </c>
      <c r="N105" s="39"/>
      <c r="O105" s="39"/>
      <c r="P105" s="5" t="s">
        <v>111</v>
      </c>
      <c r="Q105" s="41"/>
      <c r="R105" s="41" t="s">
        <v>112</v>
      </c>
      <c r="S105" s="41">
        <v>5</v>
      </c>
      <c r="T105" s="41" t="s">
        <v>764</v>
      </c>
      <c r="U105" s="41"/>
      <c r="V105" s="41"/>
      <c r="W105" s="174">
        <v>45824</v>
      </c>
      <c r="X105" s="174">
        <v>45830</v>
      </c>
      <c r="Y105" s="41"/>
      <c r="Z105" s="42"/>
      <c r="AA105" s="37"/>
      <c r="AB105" s="42"/>
      <c r="AC105" s="42"/>
      <c r="AD105" s="51"/>
      <c r="AE105" s="51"/>
      <c r="AF105" s="12">
        <f t="shared" si="1"/>
        <v>70</v>
      </c>
      <c r="AG105" s="7">
        <v>60</v>
      </c>
      <c r="AH105" s="7"/>
      <c r="AI105" s="7">
        <v>80</v>
      </c>
      <c r="AJ105" s="7"/>
      <c r="AK105" s="7">
        <v>60</v>
      </c>
      <c r="AL105" s="7"/>
      <c r="AM105" s="7">
        <v>100</v>
      </c>
      <c r="AN105" s="7"/>
      <c r="AO105" s="63">
        <v>5.8</v>
      </c>
      <c r="AP105" s="58">
        <v>1600</v>
      </c>
      <c r="AQ105" s="58">
        <v>460</v>
      </c>
      <c r="AR105" s="58">
        <v>460</v>
      </c>
      <c r="AS105" s="30">
        <v>21344</v>
      </c>
      <c r="AT105" s="30">
        <v>9280</v>
      </c>
      <c r="AU105" s="30">
        <v>30624</v>
      </c>
      <c r="AV105" s="197">
        <v>21344</v>
      </c>
      <c r="AW105" s="197">
        <v>9280</v>
      </c>
      <c r="AX105" s="197">
        <v>30624</v>
      </c>
      <c r="AY105" s="203"/>
      <c r="AZ105" s="203"/>
      <c r="BA105" s="203">
        <v>0</v>
      </c>
      <c r="BB105" s="41"/>
      <c r="BC105" s="41"/>
      <c r="BD105" s="192">
        <v>3</v>
      </c>
      <c r="BE105" s="30"/>
      <c r="BF105" s="186"/>
      <c r="BG105" s="183"/>
      <c r="BH105" s="183"/>
    </row>
    <row r="106" spans="1:60" ht="30" customHeight="1">
      <c r="A106" s="41" t="s">
        <v>760</v>
      </c>
      <c r="B106" s="116" t="s">
        <v>761</v>
      </c>
      <c r="C106" s="116"/>
      <c r="D106" s="116" t="s">
        <v>762</v>
      </c>
      <c r="E106" s="117" t="s">
        <v>195</v>
      </c>
      <c r="F106" s="117" t="s">
        <v>166</v>
      </c>
      <c r="G106" s="122" t="s">
        <v>765</v>
      </c>
      <c r="H106" s="119"/>
      <c r="I106" s="118"/>
      <c r="J106" s="41" t="s">
        <v>110</v>
      </c>
      <c r="K106" s="41">
        <v>1</v>
      </c>
      <c r="L106" s="41" t="s">
        <v>110</v>
      </c>
      <c r="M106" s="41">
        <v>1</v>
      </c>
      <c r="N106" s="39"/>
      <c r="O106" s="39"/>
      <c r="P106" s="5" t="s">
        <v>111</v>
      </c>
      <c r="Q106" s="41"/>
      <c r="R106" s="41" t="s">
        <v>112</v>
      </c>
      <c r="S106" s="41">
        <v>5</v>
      </c>
      <c r="T106" s="41" t="s">
        <v>764</v>
      </c>
      <c r="U106" s="41"/>
      <c r="V106" s="41"/>
      <c r="W106" s="174">
        <v>45824</v>
      </c>
      <c r="X106" s="174">
        <v>45830</v>
      </c>
      <c r="Y106" s="41"/>
      <c r="Z106" s="42"/>
      <c r="AA106" s="37"/>
      <c r="AB106" s="42"/>
      <c r="AC106" s="42"/>
      <c r="AD106" s="51"/>
      <c r="AE106" s="51"/>
      <c r="AF106" s="12">
        <f t="shared" si="1"/>
        <v>70</v>
      </c>
      <c r="AG106" s="7">
        <v>60</v>
      </c>
      <c r="AH106" s="7"/>
      <c r="AI106" s="7">
        <v>80</v>
      </c>
      <c r="AJ106" s="7"/>
      <c r="AK106" s="7">
        <v>60</v>
      </c>
      <c r="AL106" s="7"/>
      <c r="AM106" s="7">
        <v>100</v>
      </c>
      <c r="AN106" s="7"/>
      <c r="AO106" s="63">
        <v>5.8</v>
      </c>
      <c r="AP106" s="58">
        <v>1600</v>
      </c>
      <c r="AQ106" s="58">
        <v>420</v>
      </c>
      <c r="AR106" s="58">
        <v>420</v>
      </c>
      <c r="AS106" s="30">
        <v>19488</v>
      </c>
      <c r="AT106" s="30">
        <v>9280</v>
      </c>
      <c r="AU106" s="30">
        <v>28768</v>
      </c>
      <c r="AV106" s="197">
        <v>19488</v>
      </c>
      <c r="AW106" s="197">
        <v>9280</v>
      </c>
      <c r="AX106" s="197">
        <v>28768</v>
      </c>
      <c r="AY106" s="203"/>
      <c r="AZ106" s="203"/>
      <c r="BA106" s="203">
        <v>0</v>
      </c>
      <c r="BB106" s="41"/>
      <c r="BC106" s="41"/>
      <c r="BD106" s="192">
        <v>3</v>
      </c>
      <c r="BE106" s="30"/>
      <c r="BF106" s="186"/>
      <c r="BG106" s="183"/>
      <c r="BH106" s="183"/>
    </row>
    <row r="107" spans="1:60" ht="30" hidden="1" customHeight="1">
      <c r="A107" s="41" t="s">
        <v>391</v>
      </c>
      <c r="B107" s="116" t="s">
        <v>766</v>
      </c>
      <c r="C107" s="116" t="s">
        <v>767</v>
      </c>
      <c r="D107" s="116" t="s">
        <v>768</v>
      </c>
      <c r="E107" s="117" t="s">
        <v>165</v>
      </c>
      <c r="F107" s="117" t="s">
        <v>166</v>
      </c>
      <c r="G107" s="119"/>
      <c r="H107" s="119"/>
      <c r="I107" s="118" t="s">
        <v>341</v>
      </c>
      <c r="J107" s="41" t="s">
        <v>110</v>
      </c>
      <c r="K107" s="41">
        <v>1</v>
      </c>
      <c r="L107" s="41" t="s">
        <v>110</v>
      </c>
      <c r="M107" s="41">
        <v>2</v>
      </c>
      <c r="N107" s="39" t="s">
        <v>115</v>
      </c>
      <c r="O107" s="39">
        <v>1</v>
      </c>
      <c r="P107" s="5" t="s">
        <v>111</v>
      </c>
      <c r="Q107" s="41"/>
      <c r="R107" s="41" t="s">
        <v>112</v>
      </c>
      <c r="S107" s="41">
        <v>3</v>
      </c>
      <c r="T107" s="5" t="s">
        <v>218</v>
      </c>
      <c r="U107" s="41" t="s">
        <v>769</v>
      </c>
      <c r="V107" s="41"/>
      <c r="W107" s="174">
        <v>45825</v>
      </c>
      <c r="X107" s="174">
        <v>45827</v>
      </c>
      <c r="Y107" s="41"/>
      <c r="Z107" s="42" t="s">
        <v>141</v>
      </c>
      <c r="AA107" s="42" t="s">
        <v>770</v>
      </c>
      <c r="AB107" s="42" t="s">
        <v>517</v>
      </c>
      <c r="AC107" s="42"/>
      <c r="AD107" s="42"/>
      <c r="AE107" s="42"/>
      <c r="AF107" s="12">
        <f t="shared" si="1"/>
        <v>80</v>
      </c>
      <c r="AG107" s="7">
        <v>100</v>
      </c>
      <c r="AH107" s="7" t="s">
        <v>771</v>
      </c>
      <c r="AI107" s="7">
        <v>40</v>
      </c>
      <c r="AJ107" s="7" t="s">
        <v>772</v>
      </c>
      <c r="AK107" s="7">
        <v>100</v>
      </c>
      <c r="AL107" s="7" t="s">
        <v>773</v>
      </c>
      <c r="AM107" s="7">
        <v>80</v>
      </c>
      <c r="AN107" s="7" t="s">
        <v>774</v>
      </c>
      <c r="AO107" s="63">
        <v>5.8</v>
      </c>
      <c r="AP107" s="58">
        <v>1600</v>
      </c>
      <c r="AQ107" s="58">
        <f>AVERAGE(320,310)</f>
        <v>315</v>
      </c>
      <c r="AR107" s="58">
        <f>PAI2025Planejamento[[#This Row],[DIÁRIA SOLICITADA]]</f>
        <v>315</v>
      </c>
      <c r="AS107" s="30">
        <v>10962</v>
      </c>
      <c r="AT107" s="30">
        <v>9280</v>
      </c>
      <c r="AU107" s="30">
        <v>20242</v>
      </c>
      <c r="AV107" s="197">
        <v>10962</v>
      </c>
      <c r="AW107" s="197">
        <v>9280</v>
      </c>
      <c r="AX107" s="197">
        <v>20242</v>
      </c>
      <c r="AY107" s="203">
        <v>12633.82</v>
      </c>
      <c r="AZ107" s="203">
        <v>10975.43</v>
      </c>
      <c r="BA107" s="203">
        <f>12633.82+10975.43</f>
        <v>23609.25</v>
      </c>
      <c r="BB107" s="41" t="s">
        <v>775</v>
      </c>
      <c r="BC107" s="41" t="s">
        <v>776</v>
      </c>
      <c r="BD107" s="41">
        <v>3</v>
      </c>
      <c r="BE107" s="30"/>
      <c r="BF107" s="186"/>
      <c r="BG107" s="183"/>
      <c r="BH107" s="183"/>
    </row>
    <row r="108" spans="1:60" ht="30" hidden="1" customHeight="1">
      <c r="A108" s="41" t="s">
        <v>391</v>
      </c>
      <c r="B108" s="116" t="s">
        <v>766</v>
      </c>
      <c r="C108" s="116" t="s">
        <v>767</v>
      </c>
      <c r="D108" s="116" t="s">
        <v>768</v>
      </c>
      <c r="E108" s="117" t="s">
        <v>165</v>
      </c>
      <c r="F108" s="117" t="s">
        <v>166</v>
      </c>
      <c r="G108" s="119"/>
      <c r="H108" s="119"/>
      <c r="I108" s="118" t="s">
        <v>341</v>
      </c>
      <c r="J108" s="41" t="s">
        <v>110</v>
      </c>
      <c r="K108" s="41">
        <v>1</v>
      </c>
      <c r="L108" s="41" t="s">
        <v>110</v>
      </c>
      <c r="M108" s="41">
        <v>0</v>
      </c>
      <c r="N108" s="39" t="s">
        <v>115</v>
      </c>
      <c r="O108" s="39">
        <v>1</v>
      </c>
      <c r="P108" s="5" t="s">
        <v>111</v>
      </c>
      <c r="Q108" s="41"/>
      <c r="R108" s="41" t="s">
        <v>112</v>
      </c>
      <c r="S108" s="41">
        <v>3</v>
      </c>
      <c r="T108" s="5" t="s">
        <v>218</v>
      </c>
      <c r="U108" s="41" t="s">
        <v>769</v>
      </c>
      <c r="V108" s="41"/>
      <c r="W108" s="174">
        <v>45825</v>
      </c>
      <c r="X108" s="174">
        <v>45827</v>
      </c>
      <c r="Y108" s="41"/>
      <c r="Z108" s="42" t="s">
        <v>141</v>
      </c>
      <c r="AA108" s="42" t="s">
        <v>770</v>
      </c>
      <c r="AB108" s="42" t="s">
        <v>517</v>
      </c>
      <c r="AC108" s="42"/>
      <c r="AD108" s="42"/>
      <c r="AE108" s="42"/>
      <c r="AF108" s="12">
        <f t="shared" si="1"/>
        <v>80</v>
      </c>
      <c r="AG108" s="7">
        <v>100</v>
      </c>
      <c r="AH108" s="7" t="s">
        <v>771</v>
      </c>
      <c r="AI108" s="7">
        <v>40</v>
      </c>
      <c r="AJ108" s="7" t="s">
        <v>772</v>
      </c>
      <c r="AK108" s="7">
        <v>100</v>
      </c>
      <c r="AL108" s="7" t="s">
        <v>773</v>
      </c>
      <c r="AM108" s="7">
        <v>80</v>
      </c>
      <c r="AN108" s="7" t="s">
        <v>774</v>
      </c>
      <c r="AO108" s="63">
        <v>5.8</v>
      </c>
      <c r="AP108" s="58">
        <v>1600</v>
      </c>
      <c r="AQ108" s="58">
        <f>AVERAGE(320,310)</f>
        <v>315</v>
      </c>
      <c r="AR108" s="58">
        <f>PAI2025Planejamento[[#This Row],[DIÁRIA SOLICITADA]]</f>
        <v>315</v>
      </c>
      <c r="AS108" s="30">
        <v>10962</v>
      </c>
      <c r="AT108" s="30">
        <v>9280</v>
      </c>
      <c r="AU108" s="30">
        <v>20242</v>
      </c>
      <c r="AV108" s="197">
        <v>10962</v>
      </c>
      <c r="AW108" s="197">
        <v>9280</v>
      </c>
      <c r="AX108" s="197">
        <v>20242</v>
      </c>
      <c r="AY108" s="203">
        <v>12231.9</v>
      </c>
      <c r="AZ108" s="203">
        <v>10975.43</v>
      </c>
      <c r="BA108" s="203">
        <f>12231.9+10975.43</f>
        <v>23207.33</v>
      </c>
      <c r="BB108" s="41" t="s">
        <v>777</v>
      </c>
      <c r="BC108" s="41" t="s">
        <v>776</v>
      </c>
      <c r="BD108" s="41">
        <v>3</v>
      </c>
      <c r="BE108" s="30"/>
      <c r="BF108" s="186"/>
      <c r="BG108" s="183"/>
      <c r="BH108" s="183"/>
    </row>
    <row r="109" spans="1:60" ht="30" hidden="1" customHeight="1">
      <c r="A109" s="41" t="s">
        <v>778</v>
      </c>
      <c r="B109" s="116" t="s">
        <v>779</v>
      </c>
      <c r="C109" s="116">
        <v>2025</v>
      </c>
      <c r="D109" s="116" t="s">
        <v>780</v>
      </c>
      <c r="E109" s="117" t="s">
        <v>201</v>
      </c>
      <c r="F109" s="117" t="s">
        <v>166</v>
      </c>
      <c r="G109" s="116" t="s">
        <v>781</v>
      </c>
      <c r="H109" s="119"/>
      <c r="I109" s="118" t="s">
        <v>341</v>
      </c>
      <c r="J109" s="41" t="s">
        <v>110</v>
      </c>
      <c r="K109" s="41">
        <v>1</v>
      </c>
      <c r="L109" s="41" t="s">
        <v>110</v>
      </c>
      <c r="M109" s="41">
        <v>1</v>
      </c>
      <c r="N109" s="39"/>
      <c r="O109" s="39"/>
      <c r="P109" s="5" t="s">
        <v>303</v>
      </c>
      <c r="Q109" s="41">
        <v>1</v>
      </c>
      <c r="R109" s="5" t="s">
        <v>112</v>
      </c>
      <c r="S109" s="41">
        <v>4</v>
      </c>
      <c r="T109" s="41" t="s">
        <v>514</v>
      </c>
      <c r="U109" s="41" t="s">
        <v>515</v>
      </c>
      <c r="V109" s="41"/>
      <c r="W109" s="174">
        <v>45790</v>
      </c>
      <c r="X109" s="174">
        <v>45793</v>
      </c>
      <c r="Y109" s="41"/>
      <c r="Z109" s="42" t="s">
        <v>524</v>
      </c>
      <c r="AA109" s="37"/>
      <c r="AB109" s="42" t="s">
        <v>782</v>
      </c>
      <c r="AC109" s="42"/>
      <c r="AD109" s="51"/>
      <c r="AE109" s="51"/>
      <c r="AF109" s="12">
        <f t="shared" si="1"/>
        <v>74</v>
      </c>
      <c r="AG109" s="7">
        <v>60</v>
      </c>
      <c r="AH109" s="7"/>
      <c r="AI109" s="7">
        <v>80</v>
      </c>
      <c r="AJ109" s="7"/>
      <c r="AK109" s="7">
        <v>80</v>
      </c>
      <c r="AL109" s="7"/>
      <c r="AM109" s="7">
        <v>100</v>
      </c>
      <c r="AN109" s="7"/>
      <c r="AO109" s="58">
        <v>5.8</v>
      </c>
      <c r="AP109" s="58">
        <v>1600</v>
      </c>
      <c r="AQ109" s="58">
        <v>460</v>
      </c>
      <c r="AR109" s="58">
        <v>460</v>
      </c>
      <c r="AS109" s="30"/>
      <c r="AT109" s="30"/>
      <c r="AU109" s="30">
        <v>0</v>
      </c>
      <c r="AV109" s="197">
        <v>10672</v>
      </c>
      <c r="AW109" s="197">
        <v>9280</v>
      </c>
      <c r="AX109" s="197">
        <v>19952</v>
      </c>
      <c r="AY109" s="203">
        <v>16801.84</v>
      </c>
      <c r="AZ109" s="203">
        <v>9653.35</v>
      </c>
      <c r="BA109" s="203">
        <f>16801.84+9653.35</f>
        <v>26455.190000000002</v>
      </c>
      <c r="BB109" s="41" t="s">
        <v>783</v>
      </c>
      <c r="BC109" s="41" t="s">
        <v>784</v>
      </c>
      <c r="BD109" s="193"/>
      <c r="BE109" s="30"/>
      <c r="BF109" s="186"/>
      <c r="BG109" s="183"/>
      <c r="BH109" s="183"/>
    </row>
    <row r="110" spans="1:60" ht="30" hidden="1" customHeight="1">
      <c r="A110" s="41" t="s">
        <v>122</v>
      </c>
      <c r="B110" s="116" t="s">
        <v>785</v>
      </c>
      <c r="C110" s="116" t="s">
        <v>786</v>
      </c>
      <c r="D110" s="116" t="s">
        <v>787</v>
      </c>
      <c r="E110" s="117" t="s">
        <v>126</v>
      </c>
      <c r="F110" s="117" t="s">
        <v>152</v>
      </c>
      <c r="G110" s="116" t="s">
        <v>788</v>
      </c>
      <c r="H110" s="119" t="s">
        <v>154</v>
      </c>
      <c r="I110" s="118" t="s">
        <v>341</v>
      </c>
      <c r="J110" s="41" t="s">
        <v>110</v>
      </c>
      <c r="K110" s="41">
        <v>1</v>
      </c>
      <c r="L110" s="41" t="s">
        <v>110</v>
      </c>
      <c r="M110" s="41">
        <v>1</v>
      </c>
      <c r="N110" s="39" t="s">
        <v>115</v>
      </c>
      <c r="O110" s="39">
        <v>1</v>
      </c>
      <c r="P110" s="5" t="s">
        <v>111</v>
      </c>
      <c r="Q110" s="41"/>
      <c r="R110" s="5" t="s">
        <v>112</v>
      </c>
      <c r="S110" s="41">
        <v>3</v>
      </c>
      <c r="T110" s="41" t="s">
        <v>789</v>
      </c>
      <c r="U110" s="41" t="s">
        <v>790</v>
      </c>
      <c r="V110" s="41"/>
      <c r="W110" s="174">
        <v>45832</v>
      </c>
      <c r="X110" s="174">
        <v>45834</v>
      </c>
      <c r="Y110" s="41"/>
      <c r="Z110" s="42" t="s">
        <v>116</v>
      </c>
      <c r="AA110" s="42" t="s">
        <v>157</v>
      </c>
      <c r="AB110" s="42" t="s">
        <v>158</v>
      </c>
      <c r="AC110" s="42"/>
      <c r="AD110" s="42"/>
      <c r="AE110" s="42"/>
      <c r="AF110" s="12">
        <f t="shared" si="1"/>
        <v>84</v>
      </c>
      <c r="AG110" s="7">
        <v>80</v>
      </c>
      <c r="AH110" s="7"/>
      <c r="AI110" s="7">
        <v>80</v>
      </c>
      <c r="AJ110" s="7"/>
      <c r="AK110" s="7">
        <v>100</v>
      </c>
      <c r="AL110" s="7" t="s">
        <v>159</v>
      </c>
      <c r="AM110" s="7">
        <v>80</v>
      </c>
      <c r="AN110" s="7"/>
      <c r="AO110" s="63">
        <v>5.8</v>
      </c>
      <c r="AP110" s="58">
        <v>1600</v>
      </c>
      <c r="AQ110" s="58">
        <v>280</v>
      </c>
      <c r="AR110" s="58">
        <v>280</v>
      </c>
      <c r="AS110" s="30">
        <v>9744</v>
      </c>
      <c r="AT110" s="30">
        <v>9280</v>
      </c>
      <c r="AU110" s="30">
        <v>19024</v>
      </c>
      <c r="AV110" s="197">
        <v>9744</v>
      </c>
      <c r="AW110" s="197">
        <v>9280</v>
      </c>
      <c r="AX110" s="197">
        <v>19024</v>
      </c>
      <c r="AY110" s="203">
        <v>8001.1</v>
      </c>
      <c r="AZ110" s="203">
        <v>9416.4500000000007</v>
      </c>
      <c r="BA110" s="203">
        <f>8001.1+9416.45</f>
        <v>17417.550000000003</v>
      </c>
      <c r="BB110" s="41" t="s">
        <v>160</v>
      </c>
      <c r="BC110" s="41" t="s">
        <v>791</v>
      </c>
      <c r="BD110" s="41">
        <v>3</v>
      </c>
      <c r="BE110" s="30"/>
      <c r="BF110" s="186"/>
      <c r="BG110" s="183"/>
      <c r="BH110" s="183"/>
    </row>
    <row r="111" spans="1:60" ht="30" hidden="1" customHeight="1">
      <c r="A111" s="41" t="s">
        <v>792</v>
      </c>
      <c r="B111" s="116" t="s">
        <v>793</v>
      </c>
      <c r="C111" s="116">
        <v>2025</v>
      </c>
      <c r="D111" s="116"/>
      <c r="E111" s="117" t="s">
        <v>201</v>
      </c>
      <c r="F111" s="117" t="s">
        <v>166</v>
      </c>
      <c r="G111" s="116"/>
      <c r="H111" s="119"/>
      <c r="I111" s="118"/>
      <c r="J111" s="41" t="s">
        <v>110</v>
      </c>
      <c r="K111" s="41">
        <v>0</v>
      </c>
      <c r="L111" s="41" t="s">
        <v>110</v>
      </c>
      <c r="M111" s="41">
        <v>0</v>
      </c>
      <c r="N111" s="39"/>
      <c r="O111" s="39"/>
      <c r="P111" s="5" t="s">
        <v>111</v>
      </c>
      <c r="Q111" s="41"/>
      <c r="R111" s="5" t="s">
        <v>112</v>
      </c>
      <c r="S111" s="41">
        <v>3</v>
      </c>
      <c r="T111" s="41" t="s">
        <v>253</v>
      </c>
      <c r="U111" s="41"/>
      <c r="V111" s="41" t="s">
        <v>253</v>
      </c>
      <c r="W111" s="174">
        <v>45874</v>
      </c>
      <c r="X111" s="174">
        <v>45876</v>
      </c>
      <c r="Y111" s="41"/>
      <c r="Z111" s="42"/>
      <c r="AA111" s="37"/>
      <c r="AB111" s="42"/>
      <c r="AC111" s="42"/>
      <c r="AD111" s="51"/>
      <c r="AE111" s="51"/>
      <c r="AF111" s="12">
        <f t="shared" si="1"/>
        <v>62</v>
      </c>
      <c r="AG111" s="7">
        <v>60</v>
      </c>
      <c r="AH111" s="7"/>
      <c r="AI111" s="7">
        <v>80</v>
      </c>
      <c r="AJ111" s="7"/>
      <c r="AK111" s="7">
        <v>40</v>
      </c>
      <c r="AL111" s="7"/>
      <c r="AM111" s="7">
        <v>60</v>
      </c>
      <c r="AN111" s="7" t="s">
        <v>794</v>
      </c>
      <c r="AO111" s="63">
        <v>5.8</v>
      </c>
      <c r="AP111" s="58"/>
      <c r="AQ111" s="58"/>
      <c r="AR111" s="58"/>
      <c r="AS111" s="30">
        <v>0</v>
      </c>
      <c r="AT111" s="30">
        <v>0</v>
      </c>
      <c r="AU111" s="30">
        <v>0</v>
      </c>
      <c r="AV111" s="197">
        <v>0</v>
      </c>
      <c r="AW111" s="197">
        <v>0</v>
      </c>
      <c r="AX111" s="197">
        <v>0</v>
      </c>
      <c r="AY111" s="203"/>
      <c r="AZ111" s="203"/>
      <c r="BA111" s="203">
        <v>0</v>
      </c>
      <c r="BB111" s="41" t="s">
        <v>280</v>
      </c>
      <c r="BC111" s="41"/>
      <c r="BD111" s="192">
        <v>1</v>
      </c>
      <c r="BE111" s="30"/>
      <c r="BF111" s="186"/>
      <c r="BG111" s="183"/>
      <c r="BH111" s="183"/>
    </row>
    <row r="112" spans="1:60" ht="30" hidden="1" customHeight="1">
      <c r="A112" s="41" t="s">
        <v>122</v>
      </c>
      <c r="B112" s="116" t="s">
        <v>795</v>
      </c>
      <c r="C112" s="116" t="s">
        <v>352</v>
      </c>
      <c r="D112" s="116"/>
      <c r="E112" s="117" t="s">
        <v>126</v>
      </c>
      <c r="F112" s="117" t="s">
        <v>275</v>
      </c>
      <c r="G112" s="116" t="s">
        <v>796</v>
      </c>
      <c r="H112" s="119"/>
      <c r="I112" s="118"/>
      <c r="J112" s="41" t="s">
        <v>110</v>
      </c>
      <c r="K112" s="41">
        <v>1</v>
      </c>
      <c r="L112" s="41" t="s">
        <v>110</v>
      </c>
      <c r="M112" s="41">
        <v>0</v>
      </c>
      <c r="N112" s="39"/>
      <c r="O112" s="39"/>
      <c r="P112" s="5" t="s">
        <v>111</v>
      </c>
      <c r="Q112" s="41"/>
      <c r="R112" s="5" t="s">
        <v>112</v>
      </c>
      <c r="S112" s="41">
        <v>5</v>
      </c>
      <c r="T112" s="41" t="s">
        <v>218</v>
      </c>
      <c r="U112" s="41"/>
      <c r="V112" s="41"/>
      <c r="W112" s="174">
        <v>45901</v>
      </c>
      <c r="X112" s="174">
        <v>45901</v>
      </c>
      <c r="Y112" s="41"/>
      <c r="Z112" s="42" t="s">
        <v>116</v>
      </c>
      <c r="AA112" s="42" t="s">
        <v>797</v>
      </c>
      <c r="AB112" s="42" t="s">
        <v>118</v>
      </c>
      <c r="AC112" s="42"/>
      <c r="AD112" s="42"/>
      <c r="AE112" s="42"/>
      <c r="AF112" s="12">
        <f t="shared" si="1"/>
        <v>72</v>
      </c>
      <c r="AG112" s="7">
        <v>80</v>
      </c>
      <c r="AH112" s="7" t="s">
        <v>798</v>
      </c>
      <c r="AI112" s="7">
        <v>80</v>
      </c>
      <c r="AJ112" s="7"/>
      <c r="AK112" s="7">
        <v>40</v>
      </c>
      <c r="AL112" s="7"/>
      <c r="AM112" s="7">
        <v>80</v>
      </c>
      <c r="AN112" s="7"/>
      <c r="AO112" s="63">
        <v>5.8</v>
      </c>
      <c r="AP112" s="58">
        <v>1600</v>
      </c>
      <c r="AQ112" s="58">
        <v>330</v>
      </c>
      <c r="AR112" s="58">
        <v>330</v>
      </c>
      <c r="AS112" s="30">
        <v>15312</v>
      </c>
      <c r="AT112" s="30">
        <v>9280</v>
      </c>
      <c r="AU112" s="30">
        <v>24592</v>
      </c>
      <c r="AV112" s="197">
        <v>0</v>
      </c>
      <c r="AW112" s="197">
        <v>0</v>
      </c>
      <c r="AX112" s="197">
        <v>0</v>
      </c>
      <c r="AY112" s="203"/>
      <c r="AZ112" s="203"/>
      <c r="BA112" s="203">
        <v>0</v>
      </c>
      <c r="BB112" s="41" t="s">
        <v>799</v>
      </c>
      <c r="BC112" s="41"/>
      <c r="BD112" s="41">
        <v>3</v>
      </c>
      <c r="BE112" s="30"/>
      <c r="BF112" s="186"/>
      <c r="BG112" s="183"/>
      <c r="BH112" s="183"/>
    </row>
    <row r="113" spans="1:60" ht="30" hidden="1" customHeight="1">
      <c r="A113" s="41" t="s">
        <v>239</v>
      </c>
      <c r="B113" s="116" t="s">
        <v>800</v>
      </c>
      <c r="C113" s="116" t="s">
        <v>786</v>
      </c>
      <c r="D113" s="116"/>
      <c r="E113" s="117" t="s">
        <v>107</v>
      </c>
      <c r="F113" s="117" t="s">
        <v>108</v>
      </c>
      <c r="G113" s="116"/>
      <c r="H113" s="119"/>
      <c r="I113" s="118"/>
      <c r="J113" s="41" t="s">
        <v>178</v>
      </c>
      <c r="K113" s="41">
        <v>1</v>
      </c>
      <c r="L113" s="41" t="s">
        <v>178</v>
      </c>
      <c r="M113" s="41">
        <v>1</v>
      </c>
      <c r="N113" s="39"/>
      <c r="O113" s="39"/>
      <c r="P113" s="5" t="s">
        <v>179</v>
      </c>
      <c r="Q113" s="41"/>
      <c r="R113" s="5" t="s">
        <v>112</v>
      </c>
      <c r="S113" s="41">
        <v>5</v>
      </c>
      <c r="T113" s="41" t="s">
        <v>801</v>
      </c>
      <c r="U113" s="41"/>
      <c r="V113" s="41"/>
      <c r="W113" s="174">
        <v>45901</v>
      </c>
      <c r="X113" s="174">
        <v>45901</v>
      </c>
      <c r="Y113" s="41"/>
      <c r="Z113" s="42" t="s">
        <v>141</v>
      </c>
      <c r="AA113" s="42" t="s">
        <v>802</v>
      </c>
      <c r="AB113" s="42" t="s">
        <v>118</v>
      </c>
      <c r="AC113" s="42" t="s">
        <v>119</v>
      </c>
      <c r="AD113" s="42"/>
      <c r="AE113" s="42"/>
      <c r="AF113" s="12">
        <f t="shared" si="1"/>
        <v>52</v>
      </c>
      <c r="AG113" s="7">
        <v>80</v>
      </c>
      <c r="AH113" s="7"/>
      <c r="AI113" s="7">
        <v>0</v>
      </c>
      <c r="AJ113" s="7"/>
      <c r="AK113" s="7">
        <v>60</v>
      </c>
      <c r="AL113" s="7"/>
      <c r="AM113" s="7">
        <v>80</v>
      </c>
      <c r="AN113" s="7"/>
      <c r="AO113" s="63">
        <v>5.8</v>
      </c>
      <c r="AP113" s="58">
        <v>1600</v>
      </c>
      <c r="AQ113" s="58">
        <v>370</v>
      </c>
      <c r="AR113" s="58">
        <v>370</v>
      </c>
      <c r="AS113" s="30">
        <v>17168</v>
      </c>
      <c r="AT113" s="30">
        <v>9280</v>
      </c>
      <c r="AU113" s="30">
        <v>26448</v>
      </c>
      <c r="AV113" s="197">
        <v>17168</v>
      </c>
      <c r="AW113" s="197">
        <v>9280</v>
      </c>
      <c r="AX113" s="197">
        <v>26448</v>
      </c>
      <c r="AY113" s="203"/>
      <c r="AZ113" s="203"/>
      <c r="BA113" s="203">
        <v>0</v>
      </c>
      <c r="BB113" s="41" t="s">
        <v>486</v>
      </c>
      <c r="BC113" s="191"/>
      <c r="BD113" s="190">
        <v>3</v>
      </c>
      <c r="BE113" s="30" t="s">
        <v>803</v>
      </c>
      <c r="BF113" s="186"/>
      <c r="BG113" s="183"/>
      <c r="BH113" s="183"/>
    </row>
    <row r="114" spans="1:60" ht="30" hidden="1" customHeight="1">
      <c r="A114" s="41" t="s">
        <v>122</v>
      </c>
      <c r="B114" s="116" t="s">
        <v>804</v>
      </c>
      <c r="C114" s="116" t="s">
        <v>805</v>
      </c>
      <c r="D114" s="116"/>
      <c r="E114" s="117" t="s">
        <v>126</v>
      </c>
      <c r="F114" s="117" t="s">
        <v>127</v>
      </c>
      <c r="G114" s="116" t="s">
        <v>806</v>
      </c>
      <c r="H114" s="119"/>
      <c r="I114" s="118"/>
      <c r="J114" s="41" t="s">
        <v>110</v>
      </c>
      <c r="K114" s="41">
        <v>2</v>
      </c>
      <c r="L114" s="41" t="s">
        <v>110</v>
      </c>
      <c r="M114" s="41">
        <v>2</v>
      </c>
      <c r="N114" s="39" t="s">
        <v>115</v>
      </c>
      <c r="O114" s="39">
        <v>1</v>
      </c>
      <c r="P114" s="5" t="s">
        <v>111</v>
      </c>
      <c r="Q114" s="41"/>
      <c r="R114" s="41" t="s">
        <v>112</v>
      </c>
      <c r="S114" s="41">
        <v>5</v>
      </c>
      <c r="T114" s="41" t="s">
        <v>285</v>
      </c>
      <c r="U114" s="41"/>
      <c r="V114" s="41"/>
      <c r="W114" s="174">
        <v>45915</v>
      </c>
      <c r="X114" s="174">
        <v>45919</v>
      </c>
      <c r="Y114" s="41"/>
      <c r="Z114" s="42" t="s">
        <v>116</v>
      </c>
      <c r="AA114" s="42" t="s">
        <v>807</v>
      </c>
      <c r="AB114" s="42" t="s">
        <v>118</v>
      </c>
      <c r="AC114" s="42" t="s">
        <v>132</v>
      </c>
      <c r="AD114" s="42"/>
      <c r="AE114" s="42"/>
      <c r="AF114" s="12">
        <f t="shared" si="1"/>
        <v>72</v>
      </c>
      <c r="AG114" s="7">
        <v>80</v>
      </c>
      <c r="AH114" s="7" t="s">
        <v>808</v>
      </c>
      <c r="AI114" s="7">
        <v>80</v>
      </c>
      <c r="AJ114" s="7" t="s">
        <v>809</v>
      </c>
      <c r="AK114" s="7">
        <v>40</v>
      </c>
      <c r="AL114" s="7"/>
      <c r="AM114" s="7">
        <v>80</v>
      </c>
      <c r="AN114" s="7"/>
      <c r="AO114" s="63">
        <v>5.8</v>
      </c>
      <c r="AP114" s="58">
        <v>1600</v>
      </c>
      <c r="AQ114" s="58">
        <v>320</v>
      </c>
      <c r="AR114" s="58">
        <v>320</v>
      </c>
      <c r="AS114" s="30">
        <v>29696</v>
      </c>
      <c r="AT114" s="30">
        <v>18560</v>
      </c>
      <c r="AU114" s="30">
        <v>48256</v>
      </c>
      <c r="AV114" s="197">
        <v>29696</v>
      </c>
      <c r="AW114" s="197">
        <v>18560</v>
      </c>
      <c r="AX114" s="197">
        <v>48256</v>
      </c>
      <c r="AY114" s="203"/>
      <c r="AZ114" s="203"/>
      <c r="BA114" s="203">
        <v>0</v>
      </c>
      <c r="BB114" s="41" t="s">
        <v>810</v>
      </c>
      <c r="BC114" s="191"/>
      <c r="BD114" s="189">
        <v>3</v>
      </c>
      <c r="BE114" s="30"/>
      <c r="BF114" s="186"/>
      <c r="BG114" s="183"/>
      <c r="BH114" s="183"/>
    </row>
    <row r="115" spans="1:60" ht="30" hidden="1" customHeight="1">
      <c r="A115" s="41" t="s">
        <v>122</v>
      </c>
      <c r="B115" s="116" t="s">
        <v>811</v>
      </c>
      <c r="C115" s="116" t="s">
        <v>812</v>
      </c>
      <c r="D115" s="116"/>
      <c r="E115" s="117" t="s">
        <v>126</v>
      </c>
      <c r="F115" s="117" t="s">
        <v>127</v>
      </c>
      <c r="G115" s="116" t="s">
        <v>813</v>
      </c>
      <c r="H115" s="119"/>
      <c r="I115" s="118"/>
      <c r="J115" s="41" t="s">
        <v>110</v>
      </c>
      <c r="K115" s="41">
        <v>1</v>
      </c>
      <c r="L115" s="41" t="s">
        <v>110</v>
      </c>
      <c r="M115" s="41">
        <v>1</v>
      </c>
      <c r="N115" s="39" t="s">
        <v>115</v>
      </c>
      <c r="O115" s="39">
        <v>0</v>
      </c>
      <c r="P115" s="5" t="s">
        <v>111</v>
      </c>
      <c r="Q115" s="41"/>
      <c r="R115" s="5" t="s">
        <v>112</v>
      </c>
      <c r="S115" s="41">
        <v>5</v>
      </c>
      <c r="T115" s="5" t="s">
        <v>285</v>
      </c>
      <c r="U115" s="41"/>
      <c r="V115" s="41"/>
      <c r="W115" s="174">
        <v>45915</v>
      </c>
      <c r="X115" s="174">
        <v>45919</v>
      </c>
      <c r="Y115" s="41"/>
      <c r="Z115" s="42" t="s">
        <v>116</v>
      </c>
      <c r="AA115" s="42" t="s">
        <v>807</v>
      </c>
      <c r="AB115" s="42" t="s">
        <v>118</v>
      </c>
      <c r="AC115" s="42" t="s">
        <v>132</v>
      </c>
      <c r="AD115" s="42"/>
      <c r="AE115" s="42"/>
      <c r="AF115" s="12">
        <f t="shared" si="1"/>
        <v>72</v>
      </c>
      <c r="AG115" s="7">
        <v>80</v>
      </c>
      <c r="AH115" s="7" t="s">
        <v>808</v>
      </c>
      <c r="AI115" s="7">
        <v>80</v>
      </c>
      <c r="AJ115" s="7" t="s">
        <v>809</v>
      </c>
      <c r="AK115" s="7">
        <v>40</v>
      </c>
      <c r="AL115" s="7"/>
      <c r="AM115" s="7">
        <v>80</v>
      </c>
      <c r="AN115" s="7"/>
      <c r="AO115" s="63">
        <v>5.8</v>
      </c>
      <c r="AP115" s="58">
        <v>1600</v>
      </c>
      <c r="AQ115" s="58">
        <v>320</v>
      </c>
      <c r="AR115" s="58">
        <v>320</v>
      </c>
      <c r="AS115" s="30">
        <v>14848</v>
      </c>
      <c r="AT115" s="30">
        <v>9280</v>
      </c>
      <c r="AU115" s="30">
        <v>24128</v>
      </c>
      <c r="AV115" s="197">
        <v>14848</v>
      </c>
      <c r="AW115" s="197">
        <v>9280</v>
      </c>
      <c r="AX115" s="197">
        <v>24128</v>
      </c>
      <c r="AY115" s="203"/>
      <c r="AZ115" s="203"/>
      <c r="BA115" s="203">
        <v>0</v>
      </c>
      <c r="BB115" s="41" t="s">
        <v>810</v>
      </c>
      <c r="BC115" s="191"/>
      <c r="BD115" s="189">
        <v>3</v>
      </c>
      <c r="BE115" s="30"/>
      <c r="BF115" s="186"/>
      <c r="BG115" s="183"/>
      <c r="BH115" s="183"/>
    </row>
    <row r="116" spans="1:60" ht="30" hidden="1" customHeight="1">
      <c r="A116" s="118" t="s">
        <v>122</v>
      </c>
      <c r="B116" s="116" t="s">
        <v>814</v>
      </c>
      <c r="C116" s="116" t="s">
        <v>815</v>
      </c>
      <c r="D116" s="116"/>
      <c r="E116" s="117" t="s">
        <v>201</v>
      </c>
      <c r="F116" s="117" t="s">
        <v>816</v>
      </c>
      <c r="G116" s="116"/>
      <c r="H116" s="119"/>
      <c r="I116" s="118"/>
      <c r="J116" s="118" t="s">
        <v>110</v>
      </c>
      <c r="K116" s="118">
        <v>1</v>
      </c>
      <c r="L116" s="118" t="s">
        <v>110</v>
      </c>
      <c r="M116" s="118">
        <v>1</v>
      </c>
      <c r="N116" s="208"/>
      <c r="O116" s="208"/>
      <c r="P116" s="5" t="s">
        <v>111</v>
      </c>
      <c r="Q116" s="118"/>
      <c r="R116" s="41" t="s">
        <v>112</v>
      </c>
      <c r="S116" s="118">
        <v>5</v>
      </c>
      <c r="T116" s="118" t="s">
        <v>218</v>
      </c>
      <c r="U116" s="118" t="s">
        <v>219</v>
      </c>
      <c r="V116" s="118"/>
      <c r="W116" s="177">
        <v>45923</v>
      </c>
      <c r="X116" s="177">
        <v>45933</v>
      </c>
      <c r="Y116" s="118"/>
      <c r="Z116" s="37" t="s">
        <v>817</v>
      </c>
      <c r="AA116" s="37" t="s">
        <v>818</v>
      </c>
      <c r="AB116" s="37" t="s">
        <v>118</v>
      </c>
      <c r="AC116" s="37"/>
      <c r="AD116" s="37"/>
      <c r="AE116" s="37"/>
      <c r="AF116" s="12">
        <f t="shared" si="1"/>
        <v>100</v>
      </c>
      <c r="AG116" s="39">
        <v>100</v>
      </c>
      <c r="AH116" s="39" t="s">
        <v>819</v>
      </c>
      <c r="AI116" s="39">
        <v>100</v>
      </c>
      <c r="AJ116" s="39" t="s">
        <v>820</v>
      </c>
      <c r="AK116" s="39">
        <v>100</v>
      </c>
      <c r="AL116" s="39" t="s">
        <v>821</v>
      </c>
      <c r="AM116" s="39">
        <v>100</v>
      </c>
      <c r="AN116" s="39" t="s">
        <v>822</v>
      </c>
      <c r="AO116" s="63">
        <v>5.8</v>
      </c>
      <c r="AP116" s="58">
        <v>1600</v>
      </c>
      <c r="AQ116" s="58">
        <v>350</v>
      </c>
      <c r="AR116" s="58">
        <v>350</v>
      </c>
      <c r="AS116" s="30">
        <v>15225</v>
      </c>
      <c r="AT116" s="30">
        <v>9280</v>
      </c>
      <c r="AU116" s="30">
        <v>24505</v>
      </c>
      <c r="AV116" s="197">
        <v>15225</v>
      </c>
      <c r="AW116" s="197">
        <v>9280</v>
      </c>
      <c r="AX116" s="197">
        <v>24505</v>
      </c>
      <c r="AY116" s="203"/>
      <c r="AZ116" s="203"/>
      <c r="BA116" s="203">
        <v>0</v>
      </c>
      <c r="BB116" s="41" t="s">
        <v>201</v>
      </c>
      <c r="BC116" s="191"/>
      <c r="BD116" s="189">
        <v>2.5</v>
      </c>
      <c r="BE116" s="30"/>
      <c r="BF116" s="186"/>
      <c r="BG116" s="183"/>
      <c r="BH116" s="183"/>
    </row>
    <row r="117" spans="1:60" ht="30" hidden="1" customHeight="1">
      <c r="A117" s="118" t="s">
        <v>122</v>
      </c>
      <c r="B117" s="116" t="s">
        <v>814</v>
      </c>
      <c r="C117" s="116" t="s">
        <v>815</v>
      </c>
      <c r="D117" s="116"/>
      <c r="E117" s="117" t="s">
        <v>201</v>
      </c>
      <c r="F117" s="117" t="s">
        <v>816</v>
      </c>
      <c r="G117" s="116"/>
      <c r="H117" s="119"/>
      <c r="I117" s="118"/>
      <c r="J117" s="118" t="s">
        <v>110</v>
      </c>
      <c r="K117" s="118">
        <v>1</v>
      </c>
      <c r="L117" s="118" t="s">
        <v>110</v>
      </c>
      <c r="M117" s="118">
        <v>1</v>
      </c>
      <c r="N117" s="208"/>
      <c r="O117" s="208"/>
      <c r="P117" s="5" t="s">
        <v>111</v>
      </c>
      <c r="Q117" s="118"/>
      <c r="R117" s="41" t="s">
        <v>112</v>
      </c>
      <c r="S117" s="118">
        <v>5</v>
      </c>
      <c r="T117" s="118" t="s">
        <v>218</v>
      </c>
      <c r="U117" s="118" t="s">
        <v>219</v>
      </c>
      <c r="V117" s="118"/>
      <c r="W117" s="177">
        <v>45923</v>
      </c>
      <c r="X117" s="177">
        <v>45933</v>
      </c>
      <c r="Y117" s="118"/>
      <c r="Z117" s="37" t="s">
        <v>817</v>
      </c>
      <c r="AA117" s="37" t="s">
        <v>818</v>
      </c>
      <c r="AB117" s="37" t="s">
        <v>118</v>
      </c>
      <c r="AC117" s="37"/>
      <c r="AD117" s="37"/>
      <c r="AE117" s="37"/>
      <c r="AF117" s="12">
        <f t="shared" si="1"/>
        <v>100</v>
      </c>
      <c r="AG117" s="7">
        <v>100</v>
      </c>
      <c r="AH117" s="7" t="s">
        <v>819</v>
      </c>
      <c r="AI117" s="7">
        <v>100</v>
      </c>
      <c r="AJ117" s="7" t="s">
        <v>820</v>
      </c>
      <c r="AK117" s="7">
        <v>100</v>
      </c>
      <c r="AL117" s="7" t="s">
        <v>821</v>
      </c>
      <c r="AM117" s="7">
        <v>100</v>
      </c>
      <c r="AN117" s="7" t="s">
        <v>822</v>
      </c>
      <c r="AO117" s="63">
        <v>5.8</v>
      </c>
      <c r="AP117" s="58">
        <v>1600</v>
      </c>
      <c r="AQ117" s="58">
        <v>350</v>
      </c>
      <c r="AR117" s="58">
        <v>350</v>
      </c>
      <c r="AS117" s="30">
        <v>15225</v>
      </c>
      <c r="AT117" s="30">
        <v>9280</v>
      </c>
      <c r="AU117" s="30">
        <v>24505</v>
      </c>
      <c r="AV117" s="197">
        <v>15225</v>
      </c>
      <c r="AW117" s="197">
        <v>9280</v>
      </c>
      <c r="AX117" s="197">
        <v>24505</v>
      </c>
      <c r="AY117" s="203"/>
      <c r="AZ117" s="203"/>
      <c r="BA117" s="203">
        <v>0</v>
      </c>
      <c r="BB117" s="41" t="s">
        <v>201</v>
      </c>
      <c r="BC117" s="191"/>
      <c r="BD117" s="189">
        <v>2.5</v>
      </c>
      <c r="BE117" s="30"/>
      <c r="BF117" s="186"/>
      <c r="BG117" s="183"/>
      <c r="BH117" s="183"/>
    </row>
    <row r="118" spans="1:60" ht="30" hidden="1" customHeight="1">
      <c r="A118" s="118" t="s">
        <v>122</v>
      </c>
      <c r="B118" s="116" t="s">
        <v>814</v>
      </c>
      <c r="C118" s="116" t="s">
        <v>815</v>
      </c>
      <c r="D118" s="116"/>
      <c r="E118" s="117" t="s">
        <v>402</v>
      </c>
      <c r="F118" s="117" t="s">
        <v>816</v>
      </c>
      <c r="G118" s="116"/>
      <c r="H118" s="119" t="s">
        <v>591</v>
      </c>
      <c r="I118" s="118"/>
      <c r="J118" s="118" t="s">
        <v>110</v>
      </c>
      <c r="K118" s="118">
        <v>1</v>
      </c>
      <c r="L118" s="118" t="s">
        <v>110</v>
      </c>
      <c r="M118" s="118">
        <v>1</v>
      </c>
      <c r="N118" s="208" t="s">
        <v>115</v>
      </c>
      <c r="O118" s="208">
        <v>1</v>
      </c>
      <c r="P118" s="5" t="s">
        <v>111</v>
      </c>
      <c r="Q118" s="118"/>
      <c r="R118" s="5" t="s">
        <v>112</v>
      </c>
      <c r="S118" s="118">
        <v>5</v>
      </c>
      <c r="T118" s="5" t="s">
        <v>218</v>
      </c>
      <c r="U118" s="118" t="s">
        <v>219</v>
      </c>
      <c r="V118" s="118"/>
      <c r="W118" s="177">
        <v>45923</v>
      </c>
      <c r="X118" s="177">
        <v>45933</v>
      </c>
      <c r="Y118" s="118"/>
      <c r="Z118" s="37" t="s">
        <v>817</v>
      </c>
      <c r="AA118" s="37" t="s">
        <v>818</v>
      </c>
      <c r="AB118" s="37" t="s">
        <v>118</v>
      </c>
      <c r="AC118" s="37"/>
      <c r="AD118" s="37"/>
      <c r="AE118" s="37"/>
      <c r="AF118" s="12">
        <f t="shared" si="1"/>
        <v>100</v>
      </c>
      <c r="AG118" s="7">
        <v>100</v>
      </c>
      <c r="AH118" s="7" t="s">
        <v>819</v>
      </c>
      <c r="AI118" s="7">
        <v>100</v>
      </c>
      <c r="AJ118" s="7" t="s">
        <v>820</v>
      </c>
      <c r="AK118" s="7">
        <v>100</v>
      </c>
      <c r="AL118" s="7" t="s">
        <v>821</v>
      </c>
      <c r="AM118" s="7">
        <v>100</v>
      </c>
      <c r="AN118" s="7" t="s">
        <v>822</v>
      </c>
      <c r="AO118" s="63">
        <v>5.8</v>
      </c>
      <c r="AP118" s="58">
        <v>1600</v>
      </c>
      <c r="AQ118" s="58">
        <v>350</v>
      </c>
      <c r="AR118" s="58">
        <v>350</v>
      </c>
      <c r="AS118" s="30">
        <v>15225</v>
      </c>
      <c r="AT118" s="30">
        <v>9280</v>
      </c>
      <c r="AU118" s="30">
        <v>24505</v>
      </c>
      <c r="AV118" s="197">
        <v>15225</v>
      </c>
      <c r="AW118" s="197">
        <v>9280</v>
      </c>
      <c r="AX118" s="197">
        <v>24505</v>
      </c>
      <c r="AY118" s="203"/>
      <c r="AZ118" s="203"/>
      <c r="BA118" s="203">
        <v>0</v>
      </c>
      <c r="BB118" s="41" t="s">
        <v>823</v>
      </c>
      <c r="BC118" s="191"/>
      <c r="BD118" s="189">
        <v>2.5</v>
      </c>
      <c r="BE118" s="30"/>
      <c r="BF118" s="186"/>
      <c r="BG118" s="183"/>
      <c r="BH118" s="183"/>
    </row>
    <row r="119" spans="1:60" ht="30" hidden="1" customHeight="1">
      <c r="A119" s="41" t="s">
        <v>122</v>
      </c>
      <c r="B119" s="116" t="s">
        <v>814</v>
      </c>
      <c r="C119" s="116" t="s">
        <v>815</v>
      </c>
      <c r="D119" s="116"/>
      <c r="E119" s="117" t="s">
        <v>165</v>
      </c>
      <c r="F119" s="117" t="s">
        <v>816</v>
      </c>
      <c r="G119" s="116"/>
      <c r="H119" s="119"/>
      <c r="I119" s="118"/>
      <c r="J119" s="41" t="s">
        <v>110</v>
      </c>
      <c r="K119" s="41">
        <v>1</v>
      </c>
      <c r="L119" s="41" t="s">
        <v>110</v>
      </c>
      <c r="M119" s="41">
        <v>1</v>
      </c>
      <c r="N119" s="39"/>
      <c r="O119" s="39"/>
      <c r="P119" s="5" t="s">
        <v>111</v>
      </c>
      <c r="Q119" s="41"/>
      <c r="R119" s="5" t="s">
        <v>112</v>
      </c>
      <c r="S119" s="41">
        <v>11</v>
      </c>
      <c r="T119" s="117" t="s">
        <v>218</v>
      </c>
      <c r="U119" s="118" t="s">
        <v>219</v>
      </c>
      <c r="V119" s="41"/>
      <c r="W119" s="177">
        <v>45923</v>
      </c>
      <c r="X119" s="177">
        <v>45933</v>
      </c>
      <c r="Y119" s="41"/>
      <c r="Z119" s="37" t="s">
        <v>817</v>
      </c>
      <c r="AA119" s="37" t="s">
        <v>818</v>
      </c>
      <c r="AB119" s="37" t="s">
        <v>118</v>
      </c>
      <c r="AC119" s="42"/>
      <c r="AD119" s="42"/>
      <c r="AE119" s="42"/>
      <c r="AF119" s="12">
        <f t="shared" si="1"/>
        <v>100</v>
      </c>
      <c r="AG119" s="7">
        <v>100</v>
      </c>
      <c r="AH119" s="7" t="s">
        <v>819</v>
      </c>
      <c r="AI119" s="7">
        <v>100</v>
      </c>
      <c r="AJ119" s="7" t="s">
        <v>820</v>
      </c>
      <c r="AK119" s="7">
        <v>100</v>
      </c>
      <c r="AL119" s="7" t="s">
        <v>821</v>
      </c>
      <c r="AM119" s="7">
        <v>100</v>
      </c>
      <c r="AN119" s="7" t="s">
        <v>822</v>
      </c>
      <c r="AO119" s="63">
        <v>5.8</v>
      </c>
      <c r="AP119" s="58">
        <v>1600</v>
      </c>
      <c r="AQ119" s="58">
        <v>350</v>
      </c>
      <c r="AR119" s="58">
        <v>350</v>
      </c>
      <c r="AS119" s="30">
        <v>27405</v>
      </c>
      <c r="AT119" s="30">
        <v>9280</v>
      </c>
      <c r="AU119" s="30">
        <v>36685</v>
      </c>
      <c r="AV119" s="197">
        <v>27405</v>
      </c>
      <c r="AW119" s="197">
        <v>9280</v>
      </c>
      <c r="AX119" s="197">
        <v>36685</v>
      </c>
      <c r="AY119" s="203"/>
      <c r="AZ119" s="203"/>
      <c r="BA119" s="203">
        <v>0</v>
      </c>
      <c r="BB119" s="41" t="s">
        <v>624</v>
      </c>
      <c r="BC119" s="191"/>
      <c r="BD119" s="189">
        <v>2.5</v>
      </c>
      <c r="BE119" s="30"/>
      <c r="BF119" s="186"/>
      <c r="BG119" s="183"/>
      <c r="BH119" s="183"/>
    </row>
    <row r="120" spans="1:60" ht="30" hidden="1" customHeight="1">
      <c r="A120" s="118" t="s">
        <v>122</v>
      </c>
      <c r="B120" s="116" t="s">
        <v>814</v>
      </c>
      <c r="C120" s="116" t="s">
        <v>815</v>
      </c>
      <c r="D120" s="116"/>
      <c r="E120" s="117" t="s">
        <v>625</v>
      </c>
      <c r="F120" s="117" t="s">
        <v>816</v>
      </c>
      <c r="G120" s="116"/>
      <c r="H120" s="119"/>
      <c r="I120" s="118"/>
      <c r="J120" s="118" t="s">
        <v>110</v>
      </c>
      <c r="K120" s="118">
        <v>1</v>
      </c>
      <c r="L120" s="118" t="s">
        <v>110</v>
      </c>
      <c r="M120" s="118">
        <v>1</v>
      </c>
      <c r="N120" s="208"/>
      <c r="O120" s="208"/>
      <c r="P120" s="5" t="s">
        <v>111</v>
      </c>
      <c r="Q120" s="118"/>
      <c r="R120" s="5" t="s">
        <v>112</v>
      </c>
      <c r="S120" s="118">
        <v>5</v>
      </c>
      <c r="T120" s="117" t="s">
        <v>218</v>
      </c>
      <c r="U120" s="118" t="s">
        <v>219</v>
      </c>
      <c r="V120" s="118"/>
      <c r="W120" s="177">
        <v>45923</v>
      </c>
      <c r="X120" s="177">
        <v>45933</v>
      </c>
      <c r="Y120" s="118"/>
      <c r="Z120" s="37" t="s">
        <v>817</v>
      </c>
      <c r="AA120" s="37" t="s">
        <v>818</v>
      </c>
      <c r="AB120" s="37" t="s">
        <v>118</v>
      </c>
      <c r="AC120" s="37"/>
      <c r="AD120" s="37"/>
      <c r="AE120" s="37"/>
      <c r="AF120" s="12">
        <f t="shared" si="1"/>
        <v>100</v>
      </c>
      <c r="AG120" s="7">
        <v>100</v>
      </c>
      <c r="AH120" s="7" t="s">
        <v>819</v>
      </c>
      <c r="AI120" s="7">
        <v>100</v>
      </c>
      <c r="AJ120" s="7" t="s">
        <v>820</v>
      </c>
      <c r="AK120" s="7">
        <v>100</v>
      </c>
      <c r="AL120" s="7" t="s">
        <v>821</v>
      </c>
      <c r="AM120" s="7">
        <v>100</v>
      </c>
      <c r="AN120" s="7" t="s">
        <v>822</v>
      </c>
      <c r="AO120" s="63">
        <v>5.8</v>
      </c>
      <c r="AP120" s="58">
        <v>1600</v>
      </c>
      <c r="AQ120" s="58">
        <v>350</v>
      </c>
      <c r="AR120" s="58">
        <v>350</v>
      </c>
      <c r="AS120" s="30">
        <v>15225</v>
      </c>
      <c r="AT120" s="30">
        <v>9280</v>
      </c>
      <c r="AU120" s="30">
        <v>24505</v>
      </c>
      <c r="AV120" s="197">
        <v>15225</v>
      </c>
      <c r="AW120" s="197">
        <v>9280</v>
      </c>
      <c r="AX120" s="197">
        <v>24505</v>
      </c>
      <c r="AY120" s="203"/>
      <c r="AZ120" s="203"/>
      <c r="BA120" s="203">
        <v>0</v>
      </c>
      <c r="BB120" s="41" t="s">
        <v>824</v>
      </c>
      <c r="BC120" s="191"/>
      <c r="BD120" s="189">
        <v>2.5</v>
      </c>
      <c r="BE120" s="30"/>
      <c r="BF120" s="186"/>
      <c r="BG120" s="183"/>
      <c r="BH120" s="183"/>
    </row>
    <row r="121" spans="1:60" ht="30" customHeight="1">
      <c r="A121" s="118" t="s">
        <v>122</v>
      </c>
      <c r="B121" s="116" t="s">
        <v>814</v>
      </c>
      <c r="C121" s="116" t="s">
        <v>815</v>
      </c>
      <c r="D121" s="116"/>
      <c r="E121" s="117" t="s">
        <v>195</v>
      </c>
      <c r="F121" s="117" t="s">
        <v>816</v>
      </c>
      <c r="G121" s="116" t="s">
        <v>825</v>
      </c>
      <c r="H121" s="119"/>
      <c r="I121" s="118"/>
      <c r="J121" s="118" t="s">
        <v>110</v>
      </c>
      <c r="K121" s="118">
        <v>3</v>
      </c>
      <c r="L121" s="118" t="s">
        <v>110</v>
      </c>
      <c r="M121" s="118">
        <v>3</v>
      </c>
      <c r="N121" s="208" t="s">
        <v>115</v>
      </c>
      <c r="O121" s="208">
        <v>2</v>
      </c>
      <c r="P121" s="5" t="s">
        <v>111</v>
      </c>
      <c r="Q121" s="118"/>
      <c r="R121" s="5" t="s">
        <v>112</v>
      </c>
      <c r="S121" s="118">
        <v>12</v>
      </c>
      <c r="T121" s="118" t="s">
        <v>218</v>
      </c>
      <c r="U121" s="118" t="s">
        <v>219</v>
      </c>
      <c r="V121" s="118"/>
      <c r="W121" s="177">
        <v>45923</v>
      </c>
      <c r="X121" s="177">
        <v>45933</v>
      </c>
      <c r="Y121" s="118"/>
      <c r="Z121" s="37" t="s">
        <v>817</v>
      </c>
      <c r="AA121" s="37" t="s">
        <v>818</v>
      </c>
      <c r="AB121" s="37" t="s">
        <v>118</v>
      </c>
      <c r="AC121" s="37"/>
      <c r="AD121" s="37"/>
      <c r="AE121" s="37"/>
      <c r="AF121" s="12">
        <f t="shared" si="1"/>
        <v>100</v>
      </c>
      <c r="AG121" s="7">
        <v>100</v>
      </c>
      <c r="AH121" s="7" t="s">
        <v>819</v>
      </c>
      <c r="AI121" s="7">
        <v>100</v>
      </c>
      <c r="AJ121" s="7" t="s">
        <v>820</v>
      </c>
      <c r="AK121" s="7">
        <v>100</v>
      </c>
      <c r="AL121" s="7" t="s">
        <v>821</v>
      </c>
      <c r="AM121" s="7">
        <v>100</v>
      </c>
      <c r="AN121" s="7" t="s">
        <v>822</v>
      </c>
      <c r="AO121" s="63">
        <v>5.8</v>
      </c>
      <c r="AP121" s="58">
        <v>1600</v>
      </c>
      <c r="AQ121" s="58">
        <v>330</v>
      </c>
      <c r="AR121" s="58">
        <v>330</v>
      </c>
      <c r="AS121" s="30">
        <v>83259</v>
      </c>
      <c r="AT121" s="30">
        <v>27840</v>
      </c>
      <c r="AU121" s="30">
        <v>111099</v>
      </c>
      <c r="AV121" s="197">
        <v>83259</v>
      </c>
      <c r="AW121" s="197">
        <v>27840</v>
      </c>
      <c r="AX121" s="197">
        <v>111099</v>
      </c>
      <c r="AY121" s="203"/>
      <c r="AZ121" s="203"/>
      <c r="BA121" s="203">
        <v>0</v>
      </c>
      <c r="BB121" s="41" t="s">
        <v>826</v>
      </c>
      <c r="BC121" s="191"/>
      <c r="BD121" s="189">
        <v>2.5</v>
      </c>
      <c r="BE121" s="30"/>
      <c r="BF121" s="186"/>
      <c r="BG121" s="183"/>
      <c r="BH121" s="183"/>
    </row>
    <row r="122" spans="1:60" ht="30" hidden="1" customHeight="1">
      <c r="A122" s="118" t="s">
        <v>122</v>
      </c>
      <c r="B122" s="116" t="s">
        <v>814</v>
      </c>
      <c r="C122" s="116" t="s">
        <v>815</v>
      </c>
      <c r="D122" s="116"/>
      <c r="E122" s="117" t="s">
        <v>274</v>
      </c>
      <c r="F122" s="117" t="s">
        <v>816</v>
      </c>
      <c r="G122" s="116"/>
      <c r="H122" s="119"/>
      <c r="I122" s="118"/>
      <c r="J122" s="118" t="s">
        <v>110</v>
      </c>
      <c r="K122" s="118">
        <v>1</v>
      </c>
      <c r="L122" s="118" t="s">
        <v>110</v>
      </c>
      <c r="M122" s="118">
        <v>1</v>
      </c>
      <c r="N122" s="208"/>
      <c r="O122" s="208"/>
      <c r="P122" s="5" t="s">
        <v>111</v>
      </c>
      <c r="Q122" s="118"/>
      <c r="R122" s="5" t="s">
        <v>112</v>
      </c>
      <c r="S122" s="118">
        <v>11</v>
      </c>
      <c r="T122" s="118" t="s">
        <v>218</v>
      </c>
      <c r="U122" s="118" t="s">
        <v>219</v>
      </c>
      <c r="V122" s="118"/>
      <c r="W122" s="177">
        <v>45923</v>
      </c>
      <c r="X122" s="177">
        <v>45933</v>
      </c>
      <c r="Y122" s="118"/>
      <c r="Z122" s="37" t="s">
        <v>817</v>
      </c>
      <c r="AA122" s="37" t="s">
        <v>818</v>
      </c>
      <c r="AB122" s="37" t="s">
        <v>118</v>
      </c>
      <c r="AC122" s="37"/>
      <c r="AD122" s="37"/>
      <c r="AE122" s="37"/>
      <c r="AF122" s="12">
        <f t="shared" si="1"/>
        <v>100</v>
      </c>
      <c r="AG122" s="7">
        <v>100</v>
      </c>
      <c r="AH122" s="7" t="s">
        <v>819</v>
      </c>
      <c r="AI122" s="7">
        <v>100</v>
      </c>
      <c r="AJ122" s="7" t="s">
        <v>820</v>
      </c>
      <c r="AK122" s="7">
        <v>100</v>
      </c>
      <c r="AL122" s="7" t="s">
        <v>821</v>
      </c>
      <c r="AM122" s="7">
        <v>100</v>
      </c>
      <c r="AN122" s="7" t="s">
        <v>822</v>
      </c>
      <c r="AO122" s="63">
        <v>5.8</v>
      </c>
      <c r="AP122" s="58">
        <v>1600</v>
      </c>
      <c r="AQ122" s="58">
        <v>330</v>
      </c>
      <c r="AR122" s="58">
        <v>330</v>
      </c>
      <c r="AS122" s="30">
        <v>25839</v>
      </c>
      <c r="AT122" s="30">
        <v>9280</v>
      </c>
      <c r="AU122" s="30">
        <v>35119</v>
      </c>
      <c r="AV122" s="197">
        <v>25839</v>
      </c>
      <c r="AW122" s="197">
        <v>9280</v>
      </c>
      <c r="AX122" s="197">
        <v>35119</v>
      </c>
      <c r="AY122" s="203"/>
      <c r="AZ122" s="203"/>
      <c r="BA122" s="203">
        <v>0</v>
      </c>
      <c r="BB122" s="41" t="s">
        <v>827</v>
      </c>
      <c r="BC122" s="191"/>
      <c r="BD122" s="189">
        <v>2.5</v>
      </c>
      <c r="BE122" s="30"/>
      <c r="BF122" s="186"/>
      <c r="BG122" s="183"/>
      <c r="BH122" s="183"/>
    </row>
    <row r="123" spans="1:60" ht="30" hidden="1" customHeight="1">
      <c r="A123" s="41" t="s">
        <v>122</v>
      </c>
      <c r="B123" s="116" t="s">
        <v>814</v>
      </c>
      <c r="C123" s="116" t="s">
        <v>815</v>
      </c>
      <c r="D123" s="116"/>
      <c r="E123" s="117" t="s">
        <v>176</v>
      </c>
      <c r="F123" s="117" t="s">
        <v>816</v>
      </c>
      <c r="G123" s="116"/>
      <c r="H123" s="119"/>
      <c r="I123" s="118"/>
      <c r="J123" s="41" t="s">
        <v>110</v>
      </c>
      <c r="K123" s="41">
        <v>1</v>
      </c>
      <c r="L123" s="41" t="s">
        <v>110</v>
      </c>
      <c r="M123" s="41">
        <v>1</v>
      </c>
      <c r="N123" s="39"/>
      <c r="O123" s="39"/>
      <c r="P123" s="5" t="s">
        <v>111</v>
      </c>
      <c r="Q123" s="41"/>
      <c r="R123" s="5" t="s">
        <v>112</v>
      </c>
      <c r="S123" s="41">
        <v>11</v>
      </c>
      <c r="T123" s="118" t="s">
        <v>218</v>
      </c>
      <c r="U123" s="118" t="s">
        <v>219</v>
      </c>
      <c r="V123" s="5"/>
      <c r="W123" s="177">
        <v>45923</v>
      </c>
      <c r="X123" s="177">
        <v>45933</v>
      </c>
      <c r="Y123" s="41"/>
      <c r="Z123" s="37" t="s">
        <v>817</v>
      </c>
      <c r="AA123" s="37" t="s">
        <v>818</v>
      </c>
      <c r="AB123" s="37" t="s">
        <v>118</v>
      </c>
      <c r="AC123" s="42"/>
      <c r="AD123" s="42"/>
      <c r="AE123" s="42"/>
      <c r="AF123" s="12">
        <f t="shared" si="1"/>
        <v>100</v>
      </c>
      <c r="AG123" s="7">
        <v>100</v>
      </c>
      <c r="AH123" s="7" t="s">
        <v>819</v>
      </c>
      <c r="AI123" s="7">
        <v>100</v>
      </c>
      <c r="AJ123" s="7" t="s">
        <v>820</v>
      </c>
      <c r="AK123" s="7">
        <v>100</v>
      </c>
      <c r="AL123" s="7" t="s">
        <v>821</v>
      </c>
      <c r="AM123" s="7">
        <v>100</v>
      </c>
      <c r="AN123" s="7" t="s">
        <v>822</v>
      </c>
      <c r="AO123" s="63">
        <v>5.8</v>
      </c>
      <c r="AP123" s="58">
        <v>1600</v>
      </c>
      <c r="AQ123" s="58">
        <v>350</v>
      </c>
      <c r="AR123" s="58">
        <v>350</v>
      </c>
      <c r="AS123" s="30">
        <v>27405</v>
      </c>
      <c r="AT123" s="30">
        <v>9280</v>
      </c>
      <c r="AU123" s="30">
        <v>36685</v>
      </c>
      <c r="AV123" s="197">
        <v>27405</v>
      </c>
      <c r="AW123" s="197">
        <v>9280</v>
      </c>
      <c r="AX123" s="197">
        <v>36685</v>
      </c>
      <c r="AY123" s="203"/>
      <c r="AZ123" s="203"/>
      <c r="BA123" s="203">
        <v>0</v>
      </c>
      <c r="BB123" s="41" t="s">
        <v>828</v>
      </c>
      <c r="BC123" s="191"/>
      <c r="BD123" s="189">
        <v>2.5</v>
      </c>
      <c r="BE123" s="30"/>
      <c r="BF123" s="186"/>
      <c r="BG123" s="183"/>
      <c r="BH123" s="183"/>
    </row>
    <row r="124" spans="1:60" ht="30" hidden="1" customHeight="1">
      <c r="A124" s="41" t="s">
        <v>122</v>
      </c>
      <c r="B124" s="116" t="s">
        <v>814</v>
      </c>
      <c r="C124" s="116" t="s">
        <v>815</v>
      </c>
      <c r="D124" s="116"/>
      <c r="E124" s="117" t="s">
        <v>216</v>
      </c>
      <c r="F124" s="117" t="s">
        <v>816</v>
      </c>
      <c r="G124" s="116"/>
      <c r="H124" s="119"/>
      <c r="I124" s="118"/>
      <c r="J124" s="41" t="s">
        <v>110</v>
      </c>
      <c r="K124" s="41">
        <v>1</v>
      </c>
      <c r="L124" s="41" t="s">
        <v>110</v>
      </c>
      <c r="M124" s="41">
        <v>1</v>
      </c>
      <c r="N124" s="39"/>
      <c r="O124" s="39"/>
      <c r="P124" s="5" t="s">
        <v>111</v>
      </c>
      <c r="Q124" s="41"/>
      <c r="R124" s="41" t="s">
        <v>112</v>
      </c>
      <c r="S124" s="41">
        <v>11</v>
      </c>
      <c r="T124" s="118" t="s">
        <v>218</v>
      </c>
      <c r="U124" s="118" t="s">
        <v>219</v>
      </c>
      <c r="V124" s="5"/>
      <c r="W124" s="177">
        <v>45923</v>
      </c>
      <c r="X124" s="177">
        <v>45933</v>
      </c>
      <c r="Y124" s="41"/>
      <c r="Z124" s="37" t="s">
        <v>817</v>
      </c>
      <c r="AA124" s="37" t="s">
        <v>818</v>
      </c>
      <c r="AB124" s="37" t="s">
        <v>118</v>
      </c>
      <c r="AC124" s="42"/>
      <c r="AD124" s="42"/>
      <c r="AE124" s="42"/>
      <c r="AF124" s="12">
        <f t="shared" si="1"/>
        <v>100</v>
      </c>
      <c r="AG124" s="7">
        <v>100</v>
      </c>
      <c r="AH124" s="7" t="s">
        <v>819</v>
      </c>
      <c r="AI124" s="7">
        <v>100</v>
      </c>
      <c r="AJ124" s="7" t="s">
        <v>820</v>
      </c>
      <c r="AK124" s="7">
        <v>100</v>
      </c>
      <c r="AL124" s="7" t="s">
        <v>821</v>
      </c>
      <c r="AM124" s="7">
        <v>100</v>
      </c>
      <c r="AN124" s="7" t="s">
        <v>822</v>
      </c>
      <c r="AO124" s="63">
        <v>5.8</v>
      </c>
      <c r="AP124" s="58">
        <v>1600</v>
      </c>
      <c r="AQ124" s="58">
        <v>350</v>
      </c>
      <c r="AR124" s="58">
        <v>350</v>
      </c>
      <c r="AS124" s="30">
        <v>27405</v>
      </c>
      <c r="AT124" s="30">
        <v>9280</v>
      </c>
      <c r="AU124" s="30">
        <v>36685</v>
      </c>
      <c r="AV124" s="197">
        <v>27405</v>
      </c>
      <c r="AW124" s="197">
        <v>9280</v>
      </c>
      <c r="AX124" s="197">
        <v>36685</v>
      </c>
      <c r="AY124" s="203"/>
      <c r="AZ124" s="203"/>
      <c r="BA124" s="203">
        <v>0</v>
      </c>
      <c r="BB124" s="41" t="s">
        <v>829</v>
      </c>
      <c r="BC124" s="191"/>
      <c r="BD124" s="189">
        <v>2.5</v>
      </c>
      <c r="BE124" s="30"/>
      <c r="BF124" s="186"/>
      <c r="BG124" s="183"/>
      <c r="BH124" s="183"/>
    </row>
    <row r="125" spans="1:60" ht="30" hidden="1" customHeight="1">
      <c r="A125" s="115" t="s">
        <v>122</v>
      </c>
      <c r="B125" s="116" t="s">
        <v>814</v>
      </c>
      <c r="C125" s="116" t="s">
        <v>815</v>
      </c>
      <c r="D125" s="119"/>
      <c r="E125" s="117" t="s">
        <v>126</v>
      </c>
      <c r="F125" s="117" t="s">
        <v>816</v>
      </c>
      <c r="G125" s="116"/>
      <c r="H125" s="119"/>
      <c r="I125" s="118"/>
      <c r="J125" s="41" t="s">
        <v>110</v>
      </c>
      <c r="K125" s="5">
        <v>1</v>
      </c>
      <c r="L125" s="41" t="s">
        <v>110</v>
      </c>
      <c r="M125" s="41">
        <v>1</v>
      </c>
      <c r="N125" s="39" t="s">
        <v>115</v>
      </c>
      <c r="O125" s="39">
        <v>1</v>
      </c>
      <c r="P125" s="5" t="s">
        <v>111</v>
      </c>
      <c r="Q125" s="41"/>
      <c r="R125" s="41" t="s">
        <v>112</v>
      </c>
      <c r="S125" s="5">
        <v>11</v>
      </c>
      <c r="T125" s="5" t="s">
        <v>218</v>
      </c>
      <c r="U125" s="118" t="s">
        <v>219</v>
      </c>
      <c r="V125" s="5"/>
      <c r="W125" s="177">
        <v>45923</v>
      </c>
      <c r="X125" s="177">
        <v>45933</v>
      </c>
      <c r="Y125" s="41"/>
      <c r="Z125" s="2" t="s">
        <v>817</v>
      </c>
      <c r="AA125" s="2" t="s">
        <v>818</v>
      </c>
      <c r="AB125" s="2" t="s">
        <v>118</v>
      </c>
      <c r="AC125" s="3"/>
      <c r="AD125" s="3"/>
      <c r="AE125" s="3"/>
      <c r="AF125" s="12">
        <f t="shared" si="1"/>
        <v>100</v>
      </c>
      <c r="AG125" s="7">
        <v>100</v>
      </c>
      <c r="AH125" s="7" t="s">
        <v>819</v>
      </c>
      <c r="AI125" s="7">
        <v>100</v>
      </c>
      <c r="AJ125" s="7" t="s">
        <v>820</v>
      </c>
      <c r="AK125" s="7">
        <v>100</v>
      </c>
      <c r="AL125" s="7" t="s">
        <v>821</v>
      </c>
      <c r="AM125" s="7">
        <v>100</v>
      </c>
      <c r="AN125" s="7" t="s">
        <v>822</v>
      </c>
      <c r="AO125" s="63">
        <v>5.8</v>
      </c>
      <c r="AP125" s="58">
        <v>1600</v>
      </c>
      <c r="AQ125" s="58">
        <v>350</v>
      </c>
      <c r="AR125" s="58">
        <v>350</v>
      </c>
      <c r="AS125" s="30">
        <v>27405</v>
      </c>
      <c r="AT125" s="30">
        <v>9280</v>
      </c>
      <c r="AU125" s="30">
        <v>36685</v>
      </c>
      <c r="AV125" s="199">
        <v>27405</v>
      </c>
      <c r="AW125" s="199">
        <v>9280</v>
      </c>
      <c r="AX125" s="199">
        <v>36685</v>
      </c>
      <c r="AY125" s="203"/>
      <c r="AZ125" s="203"/>
      <c r="BA125" s="203">
        <v>0</v>
      </c>
      <c r="BB125" s="189" t="s">
        <v>830</v>
      </c>
      <c r="BC125" s="191"/>
      <c r="BD125" s="41">
        <v>2.5</v>
      </c>
      <c r="BE125" s="30"/>
      <c r="BF125" s="186"/>
      <c r="BG125" s="183"/>
      <c r="BH125" s="183"/>
    </row>
    <row r="126" spans="1:60" ht="30" hidden="1" customHeight="1">
      <c r="A126" s="170" t="s">
        <v>122</v>
      </c>
      <c r="B126" s="116" t="s">
        <v>814</v>
      </c>
      <c r="C126" s="116" t="s">
        <v>815</v>
      </c>
      <c r="D126" s="119"/>
      <c r="E126" s="117" t="s">
        <v>201</v>
      </c>
      <c r="F126" s="117" t="s">
        <v>816</v>
      </c>
      <c r="G126" s="116"/>
      <c r="H126" s="119"/>
      <c r="I126" s="118"/>
      <c r="J126" s="118" t="s">
        <v>110</v>
      </c>
      <c r="K126" s="117">
        <v>1</v>
      </c>
      <c r="L126" s="118" t="s">
        <v>110</v>
      </c>
      <c r="M126" s="118">
        <v>1</v>
      </c>
      <c r="N126" s="208"/>
      <c r="O126" s="208"/>
      <c r="P126" s="5" t="s">
        <v>111</v>
      </c>
      <c r="Q126" s="118"/>
      <c r="R126" s="41" t="s">
        <v>112</v>
      </c>
      <c r="S126" s="117">
        <v>5</v>
      </c>
      <c r="T126" s="117" t="s">
        <v>218</v>
      </c>
      <c r="U126" s="118" t="s">
        <v>219</v>
      </c>
      <c r="V126" s="117"/>
      <c r="W126" s="177">
        <v>45923</v>
      </c>
      <c r="X126" s="177">
        <v>45933</v>
      </c>
      <c r="Y126" s="118"/>
      <c r="Z126" s="2" t="s">
        <v>817</v>
      </c>
      <c r="AA126" s="2" t="s">
        <v>818</v>
      </c>
      <c r="AB126" s="2" t="s">
        <v>118</v>
      </c>
      <c r="AC126" s="2"/>
      <c r="AD126" s="2"/>
      <c r="AE126" s="2"/>
      <c r="AF126" s="12">
        <f t="shared" si="1"/>
        <v>100</v>
      </c>
      <c r="AG126" s="7">
        <v>100</v>
      </c>
      <c r="AH126" s="7" t="s">
        <v>819</v>
      </c>
      <c r="AI126" s="7">
        <v>100</v>
      </c>
      <c r="AJ126" s="7" t="s">
        <v>820</v>
      </c>
      <c r="AK126" s="7">
        <v>100</v>
      </c>
      <c r="AL126" s="7" t="s">
        <v>821</v>
      </c>
      <c r="AM126" s="7">
        <v>100</v>
      </c>
      <c r="AN126" s="7" t="s">
        <v>822</v>
      </c>
      <c r="AO126" s="63">
        <v>5.8</v>
      </c>
      <c r="AP126" s="58">
        <v>1600</v>
      </c>
      <c r="AQ126" s="58">
        <v>350</v>
      </c>
      <c r="AR126" s="58">
        <v>350</v>
      </c>
      <c r="AS126" s="30">
        <v>15225</v>
      </c>
      <c r="AT126" s="30">
        <v>9280</v>
      </c>
      <c r="AU126" s="30">
        <v>24505</v>
      </c>
      <c r="AV126" s="199">
        <v>15225</v>
      </c>
      <c r="AW126" s="199">
        <v>9280</v>
      </c>
      <c r="AX126" s="199">
        <v>24505</v>
      </c>
      <c r="AY126" s="203"/>
      <c r="AZ126" s="203"/>
      <c r="BA126" s="203">
        <v>0</v>
      </c>
      <c r="BB126" s="189" t="s">
        <v>201</v>
      </c>
      <c r="BC126" s="191"/>
      <c r="BD126" s="41">
        <v>2.5</v>
      </c>
      <c r="BE126" s="30"/>
      <c r="BF126" s="186"/>
      <c r="BG126" s="183"/>
      <c r="BH126" s="183"/>
    </row>
    <row r="127" spans="1:60" ht="30" hidden="1" customHeight="1">
      <c r="A127" s="118" t="s">
        <v>122</v>
      </c>
      <c r="B127" s="116" t="s">
        <v>814</v>
      </c>
      <c r="C127" s="116" t="s">
        <v>815</v>
      </c>
      <c r="D127" s="116"/>
      <c r="E127" s="117" t="s">
        <v>201</v>
      </c>
      <c r="F127" s="117" t="s">
        <v>816</v>
      </c>
      <c r="G127" s="116"/>
      <c r="H127" s="119"/>
      <c r="I127" s="118"/>
      <c r="J127" s="118" t="s">
        <v>110</v>
      </c>
      <c r="K127" s="118">
        <v>1</v>
      </c>
      <c r="L127" s="118" t="s">
        <v>110</v>
      </c>
      <c r="M127" s="118">
        <v>1</v>
      </c>
      <c r="N127" s="208"/>
      <c r="O127" s="208"/>
      <c r="P127" s="5" t="s">
        <v>111</v>
      </c>
      <c r="Q127" s="118"/>
      <c r="R127" s="41" t="s">
        <v>112</v>
      </c>
      <c r="S127" s="118">
        <v>5</v>
      </c>
      <c r="T127" s="118" t="s">
        <v>218</v>
      </c>
      <c r="U127" s="118" t="s">
        <v>219</v>
      </c>
      <c r="V127" s="118"/>
      <c r="W127" s="177">
        <v>45923</v>
      </c>
      <c r="X127" s="177">
        <v>45933</v>
      </c>
      <c r="Y127" s="118"/>
      <c r="Z127" s="37" t="s">
        <v>817</v>
      </c>
      <c r="AA127" s="37" t="s">
        <v>818</v>
      </c>
      <c r="AB127" s="37" t="s">
        <v>118</v>
      </c>
      <c r="AC127" s="37"/>
      <c r="AD127" s="37"/>
      <c r="AE127" s="37"/>
      <c r="AF127" s="12">
        <f t="shared" si="1"/>
        <v>100</v>
      </c>
      <c r="AG127" s="7">
        <v>100</v>
      </c>
      <c r="AH127" s="7" t="s">
        <v>819</v>
      </c>
      <c r="AI127" s="7">
        <v>100</v>
      </c>
      <c r="AJ127" s="7" t="s">
        <v>820</v>
      </c>
      <c r="AK127" s="7">
        <v>100</v>
      </c>
      <c r="AL127" s="7" t="s">
        <v>821</v>
      </c>
      <c r="AM127" s="7">
        <v>100</v>
      </c>
      <c r="AN127" s="7" t="s">
        <v>822</v>
      </c>
      <c r="AO127" s="63">
        <v>5.8</v>
      </c>
      <c r="AP127" s="58">
        <v>1600</v>
      </c>
      <c r="AQ127" s="58">
        <v>350</v>
      </c>
      <c r="AR127" s="58">
        <v>350</v>
      </c>
      <c r="AS127" s="30">
        <v>15225</v>
      </c>
      <c r="AT127" s="30">
        <v>9280</v>
      </c>
      <c r="AU127" s="30">
        <v>24505</v>
      </c>
      <c r="AV127" s="197">
        <v>15225</v>
      </c>
      <c r="AW127" s="197">
        <v>9280</v>
      </c>
      <c r="AX127" s="197">
        <v>24505</v>
      </c>
      <c r="AY127" s="203"/>
      <c r="AZ127" s="203"/>
      <c r="BA127" s="203">
        <v>0</v>
      </c>
      <c r="BB127" s="41" t="s">
        <v>201</v>
      </c>
      <c r="BC127" s="191"/>
      <c r="BD127" s="189">
        <v>2.5</v>
      </c>
      <c r="BE127" s="30"/>
      <c r="BF127" s="186"/>
      <c r="BG127" s="183"/>
      <c r="BH127" s="183"/>
    </row>
    <row r="128" spans="1:60" ht="30" hidden="1" customHeight="1">
      <c r="A128" s="118" t="s">
        <v>122</v>
      </c>
      <c r="B128" s="116" t="s">
        <v>814</v>
      </c>
      <c r="C128" s="116" t="s">
        <v>815</v>
      </c>
      <c r="D128" s="116"/>
      <c r="E128" s="117" t="s">
        <v>201</v>
      </c>
      <c r="F128" s="117" t="s">
        <v>816</v>
      </c>
      <c r="G128" s="116" t="s">
        <v>831</v>
      </c>
      <c r="H128" s="119"/>
      <c r="I128" s="118"/>
      <c r="J128" s="118" t="s">
        <v>110</v>
      </c>
      <c r="K128" s="118">
        <v>1</v>
      </c>
      <c r="L128" s="118" t="s">
        <v>110</v>
      </c>
      <c r="M128" s="118">
        <v>1</v>
      </c>
      <c r="N128" s="208"/>
      <c r="O128" s="208"/>
      <c r="P128" s="5" t="s">
        <v>111</v>
      </c>
      <c r="Q128" s="118"/>
      <c r="R128" s="5" t="s">
        <v>112</v>
      </c>
      <c r="S128" s="118">
        <v>12</v>
      </c>
      <c r="T128" s="118" t="s">
        <v>218</v>
      </c>
      <c r="U128" s="118" t="s">
        <v>219</v>
      </c>
      <c r="V128" s="118"/>
      <c r="W128" s="177">
        <v>45923</v>
      </c>
      <c r="X128" s="177">
        <v>45933</v>
      </c>
      <c r="Y128" s="118"/>
      <c r="Z128" s="37" t="s">
        <v>817</v>
      </c>
      <c r="AA128" s="37" t="s">
        <v>818</v>
      </c>
      <c r="AB128" s="37" t="s">
        <v>118</v>
      </c>
      <c r="AC128" s="37"/>
      <c r="AD128" s="37"/>
      <c r="AE128" s="37"/>
      <c r="AF128" s="12">
        <f t="shared" si="1"/>
        <v>100</v>
      </c>
      <c r="AG128" s="7">
        <v>100</v>
      </c>
      <c r="AH128" s="7" t="s">
        <v>819</v>
      </c>
      <c r="AI128" s="7">
        <v>100</v>
      </c>
      <c r="AJ128" s="7" t="s">
        <v>820</v>
      </c>
      <c r="AK128" s="7">
        <v>100</v>
      </c>
      <c r="AL128" s="7" t="s">
        <v>821</v>
      </c>
      <c r="AM128" s="7">
        <v>100</v>
      </c>
      <c r="AN128" s="7" t="s">
        <v>822</v>
      </c>
      <c r="AO128" s="63">
        <v>5.8</v>
      </c>
      <c r="AP128" s="58">
        <v>1600</v>
      </c>
      <c r="AQ128" s="58">
        <v>350</v>
      </c>
      <c r="AR128" s="58">
        <v>350</v>
      </c>
      <c r="AS128" s="30">
        <v>29435</v>
      </c>
      <c r="AT128" s="30">
        <v>9280</v>
      </c>
      <c r="AU128" s="30">
        <v>38715</v>
      </c>
      <c r="AV128" s="197">
        <v>29435</v>
      </c>
      <c r="AW128" s="197">
        <v>9280</v>
      </c>
      <c r="AX128" s="197">
        <v>38715</v>
      </c>
      <c r="AY128" s="203"/>
      <c r="AZ128" s="203"/>
      <c r="BA128" s="203">
        <v>0</v>
      </c>
      <c r="BB128" s="41" t="s">
        <v>831</v>
      </c>
      <c r="BC128" s="191"/>
      <c r="BD128" s="189">
        <v>2.5</v>
      </c>
      <c r="BE128" s="30"/>
      <c r="BF128" s="186"/>
      <c r="BG128" s="183"/>
      <c r="BH128" s="183"/>
    </row>
    <row r="129" spans="1:60" ht="30" hidden="1" customHeight="1">
      <c r="A129" s="41" t="s">
        <v>122</v>
      </c>
      <c r="B129" s="116" t="s">
        <v>814</v>
      </c>
      <c r="C129" s="116" t="s">
        <v>815</v>
      </c>
      <c r="D129" s="116"/>
      <c r="E129" s="117" t="s">
        <v>107</v>
      </c>
      <c r="F129" s="117" t="s">
        <v>816</v>
      </c>
      <c r="G129" s="116"/>
      <c r="H129" s="119"/>
      <c r="I129" s="118"/>
      <c r="J129" s="41" t="s">
        <v>110</v>
      </c>
      <c r="K129" s="41">
        <v>1</v>
      </c>
      <c r="L129" s="41" t="s">
        <v>110</v>
      </c>
      <c r="M129" s="41">
        <v>1</v>
      </c>
      <c r="N129" s="39" t="s">
        <v>115</v>
      </c>
      <c r="O129" s="39">
        <v>1</v>
      </c>
      <c r="P129" s="5" t="s">
        <v>111</v>
      </c>
      <c r="Q129" s="41"/>
      <c r="R129" s="5" t="s">
        <v>112</v>
      </c>
      <c r="S129" s="41">
        <v>11</v>
      </c>
      <c r="T129" s="5" t="s">
        <v>218</v>
      </c>
      <c r="U129" s="118" t="s">
        <v>219</v>
      </c>
      <c r="V129" s="41"/>
      <c r="W129" s="177">
        <v>45923</v>
      </c>
      <c r="X129" s="177">
        <v>45933</v>
      </c>
      <c r="Y129" s="41"/>
      <c r="Z129" s="37" t="s">
        <v>817</v>
      </c>
      <c r="AA129" s="37" t="s">
        <v>832</v>
      </c>
      <c r="AB129" s="37" t="s">
        <v>118</v>
      </c>
      <c r="AC129" s="42" t="s">
        <v>262</v>
      </c>
      <c r="AD129" s="42"/>
      <c r="AE129" s="42"/>
      <c r="AF129" s="12">
        <f t="shared" si="1"/>
        <v>100</v>
      </c>
      <c r="AG129" s="7">
        <v>100</v>
      </c>
      <c r="AH129" s="7" t="s">
        <v>819</v>
      </c>
      <c r="AI129" s="7">
        <v>100</v>
      </c>
      <c r="AJ129" s="7" t="s">
        <v>820</v>
      </c>
      <c r="AK129" s="7">
        <v>100</v>
      </c>
      <c r="AL129" s="7" t="s">
        <v>821</v>
      </c>
      <c r="AM129" s="7">
        <v>100</v>
      </c>
      <c r="AN129" s="7" t="s">
        <v>822</v>
      </c>
      <c r="AO129" s="63">
        <v>5.8</v>
      </c>
      <c r="AP129" s="58">
        <v>1600</v>
      </c>
      <c r="AQ129" s="58">
        <v>350</v>
      </c>
      <c r="AR129" s="58">
        <v>350</v>
      </c>
      <c r="AS129" s="30">
        <v>27405</v>
      </c>
      <c r="AT129" s="30">
        <v>9280</v>
      </c>
      <c r="AU129" s="30">
        <v>36685</v>
      </c>
      <c r="AV129" s="197">
        <v>27405</v>
      </c>
      <c r="AW129" s="197">
        <v>9280</v>
      </c>
      <c r="AX129" s="197">
        <v>36685</v>
      </c>
      <c r="AY129" s="203"/>
      <c r="AZ129" s="203"/>
      <c r="BA129" s="203">
        <v>0</v>
      </c>
      <c r="BB129" s="41" t="s">
        <v>263</v>
      </c>
      <c r="BC129" s="191"/>
      <c r="BD129" s="189">
        <v>2.5</v>
      </c>
      <c r="BE129" s="30" t="s">
        <v>661</v>
      </c>
      <c r="BF129" s="186"/>
      <c r="BG129" s="183"/>
      <c r="BH129" s="183"/>
    </row>
    <row r="130" spans="1:60" ht="30" hidden="1" customHeight="1">
      <c r="A130" s="41" t="s">
        <v>122</v>
      </c>
      <c r="B130" s="116" t="s">
        <v>833</v>
      </c>
      <c r="C130" s="116" t="s">
        <v>834</v>
      </c>
      <c r="D130" s="116"/>
      <c r="E130" s="117" t="s">
        <v>126</v>
      </c>
      <c r="F130" s="117" t="s">
        <v>127</v>
      </c>
      <c r="G130" s="116"/>
      <c r="H130" s="119"/>
      <c r="I130" s="118"/>
      <c r="J130" s="41" t="s">
        <v>110</v>
      </c>
      <c r="K130" s="41">
        <v>1</v>
      </c>
      <c r="L130" s="41" t="s">
        <v>110</v>
      </c>
      <c r="M130" s="41">
        <v>1</v>
      </c>
      <c r="N130" s="39" t="s">
        <v>115</v>
      </c>
      <c r="O130" s="39">
        <v>1</v>
      </c>
      <c r="P130" s="5" t="s">
        <v>111</v>
      </c>
      <c r="Q130" s="41"/>
      <c r="R130" s="5" t="s">
        <v>112</v>
      </c>
      <c r="S130" s="41">
        <v>5</v>
      </c>
      <c r="T130" s="41" t="s">
        <v>285</v>
      </c>
      <c r="U130" s="41"/>
      <c r="V130" s="41"/>
      <c r="W130" s="174">
        <v>45962</v>
      </c>
      <c r="X130" s="174">
        <v>45962</v>
      </c>
      <c r="Y130" s="41"/>
      <c r="Z130" s="42" t="s">
        <v>116</v>
      </c>
      <c r="AA130" s="42" t="s">
        <v>835</v>
      </c>
      <c r="AB130" s="42" t="s">
        <v>118</v>
      </c>
      <c r="AC130" s="42"/>
      <c r="AD130" s="42"/>
      <c r="AE130" s="42"/>
      <c r="AF130" s="12">
        <f t="shared" ref="AF130:AF196" si="2">AG130*$AG$2+AI130*$AI$2+AK130*$AK$2+AM130*$AM$2</f>
        <v>72</v>
      </c>
      <c r="AG130" s="7">
        <v>80</v>
      </c>
      <c r="AH130" s="7"/>
      <c r="AI130" s="7">
        <v>80</v>
      </c>
      <c r="AJ130" s="7" t="s">
        <v>836</v>
      </c>
      <c r="AK130" s="7">
        <v>40</v>
      </c>
      <c r="AL130" s="7"/>
      <c r="AM130" s="7">
        <v>80</v>
      </c>
      <c r="AN130" s="7"/>
      <c r="AO130" s="63">
        <v>5.8</v>
      </c>
      <c r="AP130" s="58">
        <v>1600</v>
      </c>
      <c r="AQ130" s="58">
        <v>300</v>
      </c>
      <c r="AR130" s="58">
        <v>300</v>
      </c>
      <c r="AS130" s="30">
        <v>13920</v>
      </c>
      <c r="AT130" s="30">
        <v>9280</v>
      </c>
      <c r="AU130" s="30">
        <v>23200</v>
      </c>
      <c r="AV130" s="197">
        <v>13920</v>
      </c>
      <c r="AW130" s="197">
        <v>9280</v>
      </c>
      <c r="AX130" s="197">
        <v>23200</v>
      </c>
      <c r="AY130" s="203"/>
      <c r="AZ130" s="203"/>
      <c r="BA130" s="203">
        <v>0</v>
      </c>
      <c r="BB130" s="41" t="s">
        <v>837</v>
      </c>
      <c r="BC130" s="191"/>
      <c r="BD130" s="189">
        <v>3</v>
      </c>
      <c r="BE130" s="30"/>
      <c r="BF130" s="186"/>
      <c r="BG130" s="183"/>
      <c r="BH130" s="183"/>
    </row>
    <row r="131" spans="1:60" ht="30" hidden="1" customHeight="1">
      <c r="A131" s="41" t="s">
        <v>723</v>
      </c>
      <c r="B131" s="116" t="s">
        <v>838</v>
      </c>
      <c r="C131" s="116" t="s">
        <v>839</v>
      </c>
      <c r="D131" s="116"/>
      <c r="E131" s="117" t="s">
        <v>201</v>
      </c>
      <c r="F131" s="117" t="s">
        <v>166</v>
      </c>
      <c r="G131" s="116"/>
      <c r="H131" s="119"/>
      <c r="I131" s="118"/>
      <c r="J131" s="41" t="s">
        <v>110</v>
      </c>
      <c r="K131" s="41">
        <v>1</v>
      </c>
      <c r="L131" s="41" t="s">
        <v>110</v>
      </c>
      <c r="M131" s="41">
        <v>1</v>
      </c>
      <c r="N131" s="39"/>
      <c r="O131" s="39"/>
      <c r="P131" s="5" t="s">
        <v>111</v>
      </c>
      <c r="Q131" s="41"/>
      <c r="R131" s="5" t="s">
        <v>112</v>
      </c>
      <c r="S131" s="41">
        <v>3</v>
      </c>
      <c r="T131" s="41" t="s">
        <v>514</v>
      </c>
      <c r="U131" s="41"/>
      <c r="V131" s="41"/>
      <c r="W131" s="174">
        <v>45965</v>
      </c>
      <c r="X131" s="174">
        <v>45967</v>
      </c>
      <c r="Y131" s="41"/>
      <c r="Z131" s="42"/>
      <c r="AA131" s="37"/>
      <c r="AB131" s="42"/>
      <c r="AC131" s="42"/>
      <c r="AD131" s="51"/>
      <c r="AE131" s="51"/>
      <c r="AF131" s="12">
        <f t="shared" si="2"/>
        <v>48</v>
      </c>
      <c r="AG131" s="7">
        <v>60</v>
      </c>
      <c r="AH131" s="7"/>
      <c r="AI131" s="7">
        <v>40</v>
      </c>
      <c r="AJ131" s="7"/>
      <c r="AK131" s="7">
        <v>40</v>
      </c>
      <c r="AL131" s="7"/>
      <c r="AM131" s="7">
        <v>40</v>
      </c>
      <c r="AN131" s="7"/>
      <c r="AO131" s="63">
        <v>5.8</v>
      </c>
      <c r="AP131" s="58">
        <v>1600</v>
      </c>
      <c r="AQ131" s="58">
        <v>460</v>
      </c>
      <c r="AR131" s="58">
        <f>PAI2025Planejamento[[#This Row],[DIÁRIA SOLICITADA]]</f>
        <v>460</v>
      </c>
      <c r="AS131" s="30">
        <v>16008</v>
      </c>
      <c r="AT131" s="30">
        <v>9280</v>
      </c>
      <c r="AU131" s="30">
        <v>25288</v>
      </c>
      <c r="AV131" s="197">
        <v>16008</v>
      </c>
      <c r="AW131" s="197">
        <v>9280</v>
      </c>
      <c r="AX131" s="197">
        <v>25288</v>
      </c>
      <c r="AY131" s="203"/>
      <c r="AZ131" s="203"/>
      <c r="BA131" s="203">
        <v>0</v>
      </c>
      <c r="BB131" s="41" t="s">
        <v>280</v>
      </c>
      <c r="BC131" s="191"/>
      <c r="BD131" s="190">
        <v>3</v>
      </c>
      <c r="BE131" s="30"/>
      <c r="BF131" s="186"/>
      <c r="BG131" s="183"/>
      <c r="BH131" s="183"/>
    </row>
    <row r="132" spans="1:60" ht="30" hidden="1" customHeight="1">
      <c r="A132" s="41" t="s">
        <v>723</v>
      </c>
      <c r="B132" s="116" t="s">
        <v>840</v>
      </c>
      <c r="C132" s="116"/>
      <c r="D132" s="116" t="s">
        <v>841</v>
      </c>
      <c r="E132" s="117" t="s">
        <v>339</v>
      </c>
      <c r="F132" s="117" t="s">
        <v>340</v>
      </c>
      <c r="G132" s="116" t="s">
        <v>186</v>
      </c>
      <c r="H132" s="119"/>
      <c r="I132" s="118" t="s">
        <v>341</v>
      </c>
      <c r="J132" s="164"/>
      <c r="K132" s="41"/>
      <c r="L132" s="41"/>
      <c r="M132" s="41"/>
      <c r="N132" s="39" t="s">
        <v>115</v>
      </c>
      <c r="O132" s="39">
        <v>1</v>
      </c>
      <c r="P132" s="5" t="s">
        <v>303</v>
      </c>
      <c r="Q132" s="41">
        <v>1</v>
      </c>
      <c r="R132" s="5" t="s">
        <v>112</v>
      </c>
      <c r="S132" s="41">
        <v>2</v>
      </c>
      <c r="T132" s="41" t="s">
        <v>842</v>
      </c>
      <c r="U132" s="41" t="s">
        <v>843</v>
      </c>
      <c r="V132" s="41"/>
      <c r="W132" s="174">
        <v>45813</v>
      </c>
      <c r="X132" s="174">
        <v>45814</v>
      </c>
      <c r="Y132" s="41"/>
      <c r="Z132" s="42"/>
      <c r="AA132" s="37"/>
      <c r="AB132" s="42"/>
      <c r="AC132" s="42"/>
      <c r="AD132" s="51"/>
      <c r="AE132" s="51"/>
      <c r="AF132" s="12">
        <f t="shared" si="2"/>
        <v>0</v>
      </c>
      <c r="AG132" s="7"/>
      <c r="AH132" s="7"/>
      <c r="AI132" s="7"/>
      <c r="AJ132" s="7"/>
      <c r="AK132" s="7"/>
      <c r="AL132" s="7"/>
      <c r="AM132" s="7"/>
      <c r="AN132" s="7"/>
      <c r="AO132" s="63">
        <v>5.8</v>
      </c>
      <c r="AP132" s="58">
        <v>1600</v>
      </c>
      <c r="AQ132" s="58">
        <v>310</v>
      </c>
      <c r="AR132" s="58">
        <v>310</v>
      </c>
      <c r="AS132" s="30"/>
      <c r="AT132" s="30"/>
      <c r="AU132" s="30"/>
      <c r="AV132" s="197"/>
      <c r="AW132" s="197"/>
      <c r="AX132" s="197"/>
      <c r="AY132" s="203">
        <v>9328.6</v>
      </c>
      <c r="AZ132" s="203">
        <v>11002.79</v>
      </c>
      <c r="BA132" s="203">
        <f>9328.6+11002.79</f>
        <v>20331.39</v>
      </c>
      <c r="BB132" s="41" t="s">
        <v>844</v>
      </c>
      <c r="BC132" s="191" t="s">
        <v>845</v>
      </c>
      <c r="BD132" s="114"/>
      <c r="BE132" s="30"/>
      <c r="BF132" s="186"/>
      <c r="BG132" s="183"/>
      <c r="BH132" s="183"/>
    </row>
    <row r="133" spans="1:60" ht="30" hidden="1" customHeight="1">
      <c r="A133" s="41" t="s">
        <v>391</v>
      </c>
      <c r="B133" s="116" t="s">
        <v>846</v>
      </c>
      <c r="C133" s="116" t="s">
        <v>847</v>
      </c>
      <c r="D133" s="116"/>
      <c r="E133" s="117" t="s">
        <v>165</v>
      </c>
      <c r="F133" s="117" t="s">
        <v>166</v>
      </c>
      <c r="G133" s="116"/>
      <c r="H133" s="119"/>
      <c r="I133" s="118"/>
      <c r="J133" s="41" t="s">
        <v>110</v>
      </c>
      <c r="K133" s="41">
        <v>2</v>
      </c>
      <c r="L133" s="41" t="s">
        <v>110</v>
      </c>
      <c r="M133" s="41">
        <v>2</v>
      </c>
      <c r="N133" s="39"/>
      <c r="O133" s="39"/>
      <c r="P133" s="5" t="s">
        <v>111</v>
      </c>
      <c r="Q133" s="41"/>
      <c r="R133" s="5" t="s">
        <v>112</v>
      </c>
      <c r="S133" s="41">
        <v>3</v>
      </c>
      <c r="T133" s="41" t="s">
        <v>801</v>
      </c>
      <c r="U133" s="41"/>
      <c r="V133" s="41"/>
      <c r="W133" s="174">
        <v>45979</v>
      </c>
      <c r="X133" s="174">
        <v>45981</v>
      </c>
      <c r="Y133" s="41"/>
      <c r="Z133" s="42" t="s">
        <v>141</v>
      </c>
      <c r="AA133" s="42" t="s">
        <v>848</v>
      </c>
      <c r="AB133" s="42" t="s">
        <v>517</v>
      </c>
      <c r="AC133" s="42"/>
      <c r="AD133" s="42"/>
      <c r="AE133" s="42"/>
      <c r="AF133" s="12">
        <f t="shared" si="2"/>
        <v>80</v>
      </c>
      <c r="AG133" s="7">
        <v>100</v>
      </c>
      <c r="AH133" s="7" t="s">
        <v>771</v>
      </c>
      <c r="AI133" s="7">
        <v>40</v>
      </c>
      <c r="AJ133" s="7" t="s">
        <v>772</v>
      </c>
      <c r="AK133" s="7">
        <v>100</v>
      </c>
      <c r="AL133" s="7" t="s">
        <v>773</v>
      </c>
      <c r="AM133" s="7">
        <v>80</v>
      </c>
      <c r="AN133" s="7" t="s">
        <v>774</v>
      </c>
      <c r="AO133" s="63">
        <v>5.8</v>
      </c>
      <c r="AP133" s="58">
        <v>1600</v>
      </c>
      <c r="AQ133" s="58">
        <f>AVERAGE(390,370)</f>
        <v>380</v>
      </c>
      <c r="AR133" s="58">
        <f>PAI2025Planejamento[[#This Row],[DIÁRIA SOLICITADA]]</f>
        <v>380</v>
      </c>
      <c r="AS133" s="30">
        <v>26448</v>
      </c>
      <c r="AT133" s="30">
        <v>18560</v>
      </c>
      <c r="AU133" s="30">
        <v>45008</v>
      </c>
      <c r="AV133" s="197">
        <v>26448</v>
      </c>
      <c r="AW133" s="197">
        <v>18560</v>
      </c>
      <c r="AX133" s="197">
        <v>45008</v>
      </c>
      <c r="AY133" s="203"/>
      <c r="AZ133" s="203"/>
      <c r="BA133" s="203">
        <v>0</v>
      </c>
      <c r="BB133" s="41" t="s">
        <v>849</v>
      </c>
      <c r="BC133" s="191"/>
      <c r="BD133" s="189">
        <v>3</v>
      </c>
      <c r="BE133" s="30"/>
      <c r="BF133" s="186"/>
      <c r="BG133" s="183"/>
      <c r="BH133" s="183"/>
    </row>
    <row r="134" spans="1:60" ht="30" hidden="1" customHeight="1">
      <c r="A134" s="41" t="s">
        <v>122</v>
      </c>
      <c r="B134" s="116" t="s">
        <v>850</v>
      </c>
      <c r="C134" s="116" t="s">
        <v>851</v>
      </c>
      <c r="D134" s="116"/>
      <c r="E134" s="117" t="s">
        <v>126</v>
      </c>
      <c r="F134" s="117" t="s">
        <v>127</v>
      </c>
      <c r="G134" s="116" t="s">
        <v>852</v>
      </c>
      <c r="H134" s="119" t="s">
        <v>591</v>
      </c>
      <c r="I134" s="118"/>
      <c r="J134" s="41" t="s">
        <v>110</v>
      </c>
      <c r="K134" s="41">
        <v>3</v>
      </c>
      <c r="L134" s="41" t="s">
        <v>110</v>
      </c>
      <c r="M134" s="41">
        <v>2</v>
      </c>
      <c r="N134" s="39" t="s">
        <v>115</v>
      </c>
      <c r="O134" s="39">
        <v>2</v>
      </c>
      <c r="P134" s="5" t="s">
        <v>111</v>
      </c>
      <c r="Q134" s="41"/>
      <c r="R134" s="41" t="s">
        <v>112</v>
      </c>
      <c r="S134" s="41">
        <v>5</v>
      </c>
      <c r="T134" s="41" t="s">
        <v>285</v>
      </c>
      <c r="U134" s="41"/>
      <c r="V134" s="41"/>
      <c r="W134" s="174">
        <v>45985</v>
      </c>
      <c r="X134" s="174">
        <v>45989</v>
      </c>
      <c r="Y134" s="41"/>
      <c r="Z134" s="42" t="s">
        <v>116</v>
      </c>
      <c r="AA134" s="42" t="s">
        <v>853</v>
      </c>
      <c r="AB134" s="42" t="s">
        <v>118</v>
      </c>
      <c r="AC134" s="42" t="s">
        <v>132</v>
      </c>
      <c r="AD134" s="42"/>
      <c r="AE134" s="42"/>
      <c r="AF134" s="12">
        <f t="shared" si="2"/>
        <v>90</v>
      </c>
      <c r="AG134" s="7">
        <v>80</v>
      </c>
      <c r="AH134" s="7"/>
      <c r="AI134" s="7">
        <v>100</v>
      </c>
      <c r="AJ134" s="7" t="s">
        <v>854</v>
      </c>
      <c r="AK134" s="7">
        <v>100</v>
      </c>
      <c r="AL134" s="7" t="s">
        <v>673</v>
      </c>
      <c r="AM134" s="7">
        <v>80</v>
      </c>
      <c r="AN134" s="7"/>
      <c r="AO134" s="63">
        <v>5.8</v>
      </c>
      <c r="AP134" s="58">
        <v>1600</v>
      </c>
      <c r="AQ134" s="62">
        <f>AVERAGE(350,330,320)</f>
        <v>333.33333333333331</v>
      </c>
      <c r="AR134" s="58">
        <f>AVERAGE(330,320)</f>
        <v>325</v>
      </c>
      <c r="AS134" s="30">
        <v>46400</v>
      </c>
      <c r="AT134" s="30">
        <v>27840</v>
      </c>
      <c r="AU134" s="30">
        <v>74240</v>
      </c>
      <c r="AV134" s="197">
        <v>30160</v>
      </c>
      <c r="AW134" s="197">
        <v>18560</v>
      </c>
      <c r="AX134" s="197">
        <v>48720</v>
      </c>
      <c r="AY134" s="203"/>
      <c r="AZ134" s="203"/>
      <c r="BA134" s="203">
        <v>0</v>
      </c>
      <c r="BB134" s="41" t="s">
        <v>855</v>
      </c>
      <c r="BC134" s="191"/>
      <c r="BD134" s="189">
        <v>3</v>
      </c>
      <c r="BE134" s="30"/>
      <c r="BF134" s="186"/>
      <c r="BG134" s="183"/>
      <c r="BH134" s="183"/>
    </row>
    <row r="135" spans="1:60" ht="30" hidden="1" customHeight="1">
      <c r="A135" s="41" t="s">
        <v>192</v>
      </c>
      <c r="B135" s="116" t="s">
        <v>856</v>
      </c>
      <c r="C135" s="116"/>
      <c r="D135" s="116"/>
      <c r="E135" s="117" t="s">
        <v>201</v>
      </c>
      <c r="F135" s="117" t="s">
        <v>166</v>
      </c>
      <c r="G135" s="116"/>
      <c r="H135" s="119"/>
      <c r="I135" s="118"/>
      <c r="J135" s="41" t="s">
        <v>110</v>
      </c>
      <c r="K135" s="41">
        <v>1</v>
      </c>
      <c r="L135" s="41" t="s">
        <v>110</v>
      </c>
      <c r="M135" s="41">
        <v>1</v>
      </c>
      <c r="N135" s="39"/>
      <c r="O135" s="39"/>
      <c r="P135" s="5" t="s">
        <v>111</v>
      </c>
      <c r="Q135" s="41"/>
      <c r="R135" s="5" t="s">
        <v>112</v>
      </c>
      <c r="S135" s="41">
        <v>5</v>
      </c>
      <c r="T135" s="41" t="s">
        <v>801</v>
      </c>
      <c r="U135" s="41"/>
      <c r="V135" s="41"/>
      <c r="W135" s="174">
        <v>45992</v>
      </c>
      <c r="X135" s="174">
        <v>45992</v>
      </c>
      <c r="Y135" s="41"/>
      <c r="Z135" s="42"/>
      <c r="AA135" s="37"/>
      <c r="AB135" s="42"/>
      <c r="AC135" s="42"/>
      <c r="AD135" s="51"/>
      <c r="AE135" s="51"/>
      <c r="AF135" s="12">
        <f t="shared" si="2"/>
        <v>94</v>
      </c>
      <c r="AG135" s="7">
        <v>100</v>
      </c>
      <c r="AH135" s="7"/>
      <c r="AI135" s="7">
        <v>80</v>
      </c>
      <c r="AJ135" s="7"/>
      <c r="AK135" s="7">
        <v>100</v>
      </c>
      <c r="AL135" s="7" t="s">
        <v>192</v>
      </c>
      <c r="AM135" s="7">
        <v>100</v>
      </c>
      <c r="AN135" s="7" t="s">
        <v>857</v>
      </c>
      <c r="AO135" s="63">
        <v>5.8</v>
      </c>
      <c r="AP135" s="58">
        <v>1600</v>
      </c>
      <c r="AQ135" s="58">
        <v>460</v>
      </c>
      <c r="AR135" s="58">
        <v>460</v>
      </c>
      <c r="AS135" s="30">
        <v>21344</v>
      </c>
      <c r="AT135" s="30">
        <v>9280</v>
      </c>
      <c r="AU135" s="30">
        <v>30624</v>
      </c>
      <c r="AV135" s="197">
        <v>21344</v>
      </c>
      <c r="AW135" s="197">
        <v>9280</v>
      </c>
      <c r="AX135" s="197">
        <v>30624</v>
      </c>
      <c r="AY135" s="203"/>
      <c r="AZ135" s="203"/>
      <c r="BA135" s="203">
        <v>0</v>
      </c>
      <c r="BB135" s="41"/>
      <c r="BC135" s="191"/>
      <c r="BD135" s="190">
        <v>3</v>
      </c>
      <c r="BE135" s="30"/>
      <c r="BF135" s="186"/>
      <c r="BG135" s="183"/>
      <c r="BH135" s="183"/>
    </row>
    <row r="136" spans="1:60" ht="30" hidden="1" customHeight="1">
      <c r="A136" s="41" t="s">
        <v>192</v>
      </c>
      <c r="B136" s="116" t="s">
        <v>858</v>
      </c>
      <c r="C136" s="116"/>
      <c r="D136" s="116"/>
      <c r="E136" s="117" t="s">
        <v>201</v>
      </c>
      <c r="F136" s="117" t="s">
        <v>166</v>
      </c>
      <c r="G136" s="116"/>
      <c r="H136" s="119"/>
      <c r="I136" s="118"/>
      <c r="J136" s="41" t="s">
        <v>110</v>
      </c>
      <c r="K136" s="41">
        <v>1</v>
      </c>
      <c r="L136" s="41" t="s">
        <v>110</v>
      </c>
      <c r="M136" s="41">
        <v>1</v>
      </c>
      <c r="N136" s="39"/>
      <c r="O136" s="39"/>
      <c r="P136" s="5" t="s">
        <v>111</v>
      </c>
      <c r="Q136" s="41"/>
      <c r="R136" s="5" t="s">
        <v>112</v>
      </c>
      <c r="S136" s="41">
        <v>5</v>
      </c>
      <c r="T136" s="41" t="s">
        <v>801</v>
      </c>
      <c r="U136" s="41"/>
      <c r="V136" s="41"/>
      <c r="W136" s="174">
        <v>45992</v>
      </c>
      <c r="X136" s="174">
        <v>45992</v>
      </c>
      <c r="Y136" s="41"/>
      <c r="Z136" s="42"/>
      <c r="AA136" s="37"/>
      <c r="AB136" s="42"/>
      <c r="AC136" s="42"/>
      <c r="AD136" s="51"/>
      <c r="AE136" s="51"/>
      <c r="AF136" s="12">
        <f t="shared" si="2"/>
        <v>94</v>
      </c>
      <c r="AG136" s="7">
        <v>100</v>
      </c>
      <c r="AH136" s="7"/>
      <c r="AI136" s="7">
        <v>80</v>
      </c>
      <c r="AJ136" s="7"/>
      <c r="AK136" s="7">
        <v>100</v>
      </c>
      <c r="AL136" s="7" t="s">
        <v>192</v>
      </c>
      <c r="AM136" s="7">
        <v>100</v>
      </c>
      <c r="AN136" s="7" t="s">
        <v>857</v>
      </c>
      <c r="AO136" s="63">
        <v>5.8</v>
      </c>
      <c r="AP136" s="58">
        <v>1600</v>
      </c>
      <c r="AQ136" s="58">
        <v>460</v>
      </c>
      <c r="AR136" s="58">
        <v>460</v>
      </c>
      <c r="AS136" s="30">
        <v>21344</v>
      </c>
      <c r="AT136" s="30">
        <v>9280</v>
      </c>
      <c r="AU136" s="30">
        <v>30624</v>
      </c>
      <c r="AV136" s="197">
        <v>21344</v>
      </c>
      <c r="AW136" s="197">
        <v>9280</v>
      </c>
      <c r="AX136" s="197">
        <v>30624</v>
      </c>
      <c r="AY136" s="203"/>
      <c r="AZ136" s="203"/>
      <c r="BA136" s="203">
        <v>0</v>
      </c>
      <c r="BB136" s="41"/>
      <c r="BC136" s="191"/>
      <c r="BD136" s="190">
        <v>3</v>
      </c>
      <c r="BE136" s="30"/>
      <c r="BF136" s="186"/>
      <c r="BG136" s="183"/>
      <c r="BH136" s="183"/>
    </row>
    <row r="137" spans="1:60" ht="30" hidden="1" customHeight="1">
      <c r="A137" s="41" t="s">
        <v>192</v>
      </c>
      <c r="B137" s="116" t="s">
        <v>859</v>
      </c>
      <c r="C137" s="116"/>
      <c r="D137" s="116"/>
      <c r="E137" s="117" t="s">
        <v>201</v>
      </c>
      <c r="F137" s="117" t="s">
        <v>166</v>
      </c>
      <c r="G137" s="116"/>
      <c r="H137" s="119"/>
      <c r="I137" s="118"/>
      <c r="J137" s="41" t="s">
        <v>110</v>
      </c>
      <c r="K137" s="41">
        <v>1</v>
      </c>
      <c r="L137" s="41" t="s">
        <v>110</v>
      </c>
      <c r="M137" s="41">
        <v>1</v>
      </c>
      <c r="N137" s="39"/>
      <c r="O137" s="39"/>
      <c r="P137" s="5" t="s">
        <v>111</v>
      </c>
      <c r="Q137" s="41"/>
      <c r="R137" s="41" t="s">
        <v>112</v>
      </c>
      <c r="S137" s="41">
        <v>5</v>
      </c>
      <c r="T137" s="41" t="s">
        <v>801</v>
      </c>
      <c r="U137" s="41"/>
      <c r="V137" s="41"/>
      <c r="W137" s="174">
        <v>45992</v>
      </c>
      <c r="X137" s="174">
        <v>45992</v>
      </c>
      <c r="Y137" s="41"/>
      <c r="Z137" s="42"/>
      <c r="AA137" s="37"/>
      <c r="AB137" s="42"/>
      <c r="AC137" s="42"/>
      <c r="AD137" s="51"/>
      <c r="AE137" s="51"/>
      <c r="AF137" s="12">
        <f t="shared" si="2"/>
        <v>94</v>
      </c>
      <c r="AG137" s="7">
        <v>100</v>
      </c>
      <c r="AH137" s="7"/>
      <c r="AI137" s="7">
        <v>80</v>
      </c>
      <c r="AJ137" s="7"/>
      <c r="AK137" s="7">
        <v>100</v>
      </c>
      <c r="AL137" s="7" t="s">
        <v>192</v>
      </c>
      <c r="AM137" s="7">
        <v>100</v>
      </c>
      <c r="AN137" s="7" t="s">
        <v>857</v>
      </c>
      <c r="AO137" s="63">
        <v>5.8</v>
      </c>
      <c r="AP137" s="58">
        <v>1600</v>
      </c>
      <c r="AQ137" s="58">
        <v>460</v>
      </c>
      <c r="AR137" s="58">
        <v>460</v>
      </c>
      <c r="AS137" s="30">
        <v>21344</v>
      </c>
      <c r="AT137" s="30">
        <v>9280</v>
      </c>
      <c r="AU137" s="30">
        <v>30624</v>
      </c>
      <c r="AV137" s="197">
        <v>21344</v>
      </c>
      <c r="AW137" s="197">
        <v>9280</v>
      </c>
      <c r="AX137" s="197">
        <v>30624</v>
      </c>
      <c r="AY137" s="203"/>
      <c r="AZ137" s="203"/>
      <c r="BA137" s="203">
        <v>0</v>
      </c>
      <c r="BB137" s="41"/>
      <c r="BC137" s="191"/>
      <c r="BD137" s="190">
        <v>3</v>
      </c>
      <c r="BE137" s="30"/>
      <c r="BF137" s="186"/>
      <c r="BG137" s="183"/>
      <c r="BH137" s="183"/>
    </row>
    <row r="138" spans="1:60" ht="30" hidden="1" customHeight="1">
      <c r="A138" s="41" t="s">
        <v>192</v>
      </c>
      <c r="B138" s="116" t="s">
        <v>860</v>
      </c>
      <c r="C138" s="116" t="s">
        <v>861</v>
      </c>
      <c r="D138" s="116"/>
      <c r="E138" s="117" t="s">
        <v>165</v>
      </c>
      <c r="F138" s="117" t="s">
        <v>166</v>
      </c>
      <c r="G138" s="116"/>
      <c r="H138" s="119"/>
      <c r="I138" s="118"/>
      <c r="J138" s="41" t="s">
        <v>110</v>
      </c>
      <c r="K138" s="41">
        <v>2</v>
      </c>
      <c r="L138" s="41" t="s">
        <v>110</v>
      </c>
      <c r="M138" s="41">
        <v>2</v>
      </c>
      <c r="N138" s="39"/>
      <c r="O138" s="39"/>
      <c r="P138" s="5" t="s">
        <v>111</v>
      </c>
      <c r="Q138" s="41"/>
      <c r="R138" s="5" t="s">
        <v>112</v>
      </c>
      <c r="S138" s="41">
        <v>4</v>
      </c>
      <c r="T138" s="41" t="s">
        <v>801</v>
      </c>
      <c r="U138" s="41"/>
      <c r="V138" s="41"/>
      <c r="W138" s="174">
        <v>45992</v>
      </c>
      <c r="X138" s="174">
        <v>45992</v>
      </c>
      <c r="Y138" s="41"/>
      <c r="Z138" s="42" t="s">
        <v>862</v>
      </c>
      <c r="AA138" s="42" t="s">
        <v>863</v>
      </c>
      <c r="AB138" s="42" t="s">
        <v>517</v>
      </c>
      <c r="AC138" s="42" t="s">
        <v>864</v>
      </c>
      <c r="AD138" s="42"/>
      <c r="AE138" s="42"/>
      <c r="AF138" s="12">
        <f t="shared" si="2"/>
        <v>94</v>
      </c>
      <c r="AG138" s="7">
        <v>100</v>
      </c>
      <c r="AH138" s="7"/>
      <c r="AI138" s="7">
        <v>80</v>
      </c>
      <c r="AJ138" s="7"/>
      <c r="AK138" s="7">
        <v>100</v>
      </c>
      <c r="AL138" s="7" t="s">
        <v>192</v>
      </c>
      <c r="AM138" s="7">
        <v>100</v>
      </c>
      <c r="AN138" s="7" t="s">
        <v>865</v>
      </c>
      <c r="AO138" s="63">
        <v>5.8</v>
      </c>
      <c r="AP138" s="58">
        <v>1600</v>
      </c>
      <c r="AQ138" s="58">
        <f>AVERAGE(460,420)</f>
        <v>440</v>
      </c>
      <c r="AR138" s="58">
        <f>AVERAGE(460,420)</f>
        <v>440</v>
      </c>
      <c r="AS138" s="30">
        <v>35728</v>
      </c>
      <c r="AT138" s="30">
        <v>18560</v>
      </c>
      <c r="AU138" s="30">
        <v>54288</v>
      </c>
      <c r="AV138" s="197">
        <v>35728</v>
      </c>
      <c r="AW138" s="197">
        <v>18560</v>
      </c>
      <c r="AX138" s="197">
        <v>54288</v>
      </c>
      <c r="AY138" s="203"/>
      <c r="AZ138" s="203"/>
      <c r="BA138" s="203">
        <v>0</v>
      </c>
      <c r="BB138" s="41" t="s">
        <v>866</v>
      </c>
      <c r="BC138" s="191"/>
      <c r="BD138" s="189">
        <v>3</v>
      </c>
      <c r="BE138" s="30"/>
      <c r="BF138" s="186"/>
      <c r="BG138" s="183"/>
      <c r="BH138" s="183"/>
    </row>
    <row r="139" spans="1:60" ht="30" hidden="1" customHeight="1">
      <c r="A139" s="41" t="s">
        <v>867</v>
      </c>
      <c r="B139" s="116" t="s">
        <v>868</v>
      </c>
      <c r="C139" s="116" t="s">
        <v>867</v>
      </c>
      <c r="D139" s="116"/>
      <c r="E139" s="117" t="s">
        <v>107</v>
      </c>
      <c r="F139" s="117" t="s">
        <v>108</v>
      </c>
      <c r="G139" s="116"/>
      <c r="H139" s="119"/>
      <c r="I139" s="118"/>
      <c r="J139" s="41" t="s">
        <v>110</v>
      </c>
      <c r="K139" s="41">
        <v>3</v>
      </c>
      <c r="L139" s="41" t="s">
        <v>110</v>
      </c>
      <c r="M139" s="41">
        <v>3</v>
      </c>
      <c r="N139" s="39"/>
      <c r="O139" s="39"/>
      <c r="P139" s="5" t="s">
        <v>111</v>
      </c>
      <c r="Q139" s="41"/>
      <c r="R139" s="5" t="s">
        <v>112</v>
      </c>
      <c r="S139" s="41">
        <v>3</v>
      </c>
      <c r="T139" s="41" t="s">
        <v>397</v>
      </c>
      <c r="U139" s="41"/>
      <c r="V139" s="41"/>
      <c r="W139" s="174">
        <v>45992</v>
      </c>
      <c r="X139" s="174">
        <v>45992</v>
      </c>
      <c r="Y139" s="41"/>
      <c r="Z139" s="42" t="s">
        <v>817</v>
      </c>
      <c r="AA139" s="37" t="s">
        <v>869</v>
      </c>
      <c r="AB139" s="42" t="s">
        <v>517</v>
      </c>
      <c r="AC139" s="42" t="s">
        <v>262</v>
      </c>
      <c r="AD139" s="51"/>
      <c r="AE139" s="51"/>
      <c r="AF139" s="12">
        <f t="shared" si="2"/>
        <v>94</v>
      </c>
      <c r="AG139" s="7">
        <v>100</v>
      </c>
      <c r="AH139" s="7"/>
      <c r="AI139" s="7">
        <v>80</v>
      </c>
      <c r="AJ139" s="7"/>
      <c r="AK139" s="7">
        <v>100</v>
      </c>
      <c r="AL139" s="7"/>
      <c r="AM139" s="7">
        <v>100</v>
      </c>
      <c r="AN139" s="7"/>
      <c r="AO139" s="63">
        <v>5.8</v>
      </c>
      <c r="AP139" s="58">
        <v>1600</v>
      </c>
      <c r="AQ139" s="62">
        <f>AVERAGE(300,280,280)</f>
        <v>286.66666666666669</v>
      </c>
      <c r="AR139" s="62">
        <f>AVERAGE(300,280,280)</f>
        <v>286.66666666666669</v>
      </c>
      <c r="AS139" s="30">
        <v>29928</v>
      </c>
      <c r="AT139" s="30">
        <v>27840</v>
      </c>
      <c r="AU139" s="30">
        <v>57768</v>
      </c>
      <c r="AV139" s="197">
        <v>29928</v>
      </c>
      <c r="AW139" s="197">
        <v>27840</v>
      </c>
      <c r="AX139" s="197">
        <v>57768</v>
      </c>
      <c r="AY139" s="203"/>
      <c r="AZ139" s="203"/>
      <c r="BA139" s="203">
        <v>0</v>
      </c>
      <c r="BB139" s="41" t="s">
        <v>870</v>
      </c>
      <c r="BC139" s="191"/>
      <c r="BD139" s="190">
        <v>3</v>
      </c>
      <c r="BE139" s="30"/>
      <c r="BF139" s="186"/>
      <c r="BG139" s="183"/>
      <c r="BH139" s="183"/>
    </row>
    <row r="140" spans="1:60" ht="30" hidden="1" customHeight="1">
      <c r="A140" s="41" t="s">
        <v>871</v>
      </c>
      <c r="B140" s="116" t="s">
        <v>872</v>
      </c>
      <c r="C140" s="116" t="s">
        <v>871</v>
      </c>
      <c r="D140" s="116"/>
      <c r="E140" s="117" t="s">
        <v>107</v>
      </c>
      <c r="F140" s="117" t="s">
        <v>108</v>
      </c>
      <c r="G140" s="116" t="s">
        <v>231</v>
      </c>
      <c r="H140" s="119"/>
      <c r="I140" s="118"/>
      <c r="J140" s="41" t="s">
        <v>110</v>
      </c>
      <c r="K140" s="41">
        <v>1</v>
      </c>
      <c r="L140" s="41" t="s">
        <v>110</v>
      </c>
      <c r="M140" s="41">
        <v>1</v>
      </c>
      <c r="N140" s="39"/>
      <c r="O140" s="39"/>
      <c r="P140" s="5" t="s">
        <v>111</v>
      </c>
      <c r="Q140" s="41"/>
      <c r="R140" s="5" t="s">
        <v>112</v>
      </c>
      <c r="S140" s="41">
        <v>3</v>
      </c>
      <c r="T140" s="41" t="s">
        <v>873</v>
      </c>
      <c r="U140" s="41"/>
      <c r="V140" s="41"/>
      <c r="W140" s="174">
        <v>45992</v>
      </c>
      <c r="X140" s="174">
        <v>45992</v>
      </c>
      <c r="Y140" s="41"/>
      <c r="Z140" s="42" t="s">
        <v>817</v>
      </c>
      <c r="AA140" s="37" t="s">
        <v>874</v>
      </c>
      <c r="AB140" s="42" t="s">
        <v>517</v>
      </c>
      <c r="AC140" s="42" t="s">
        <v>262</v>
      </c>
      <c r="AD140" s="51"/>
      <c r="AE140" s="51"/>
      <c r="AF140" s="12">
        <f t="shared" si="2"/>
        <v>94</v>
      </c>
      <c r="AG140" s="7">
        <v>100</v>
      </c>
      <c r="AH140" s="7"/>
      <c r="AI140" s="7">
        <v>80</v>
      </c>
      <c r="AJ140" s="7"/>
      <c r="AK140" s="7">
        <v>100</v>
      </c>
      <c r="AL140" s="7"/>
      <c r="AM140" s="7">
        <v>100</v>
      </c>
      <c r="AN140" s="7"/>
      <c r="AO140" s="63">
        <v>5.8</v>
      </c>
      <c r="AP140" s="58">
        <v>1600</v>
      </c>
      <c r="AQ140" s="58">
        <v>350</v>
      </c>
      <c r="AR140" s="58">
        <v>350</v>
      </c>
      <c r="AS140" s="30">
        <v>12180</v>
      </c>
      <c r="AT140" s="30">
        <v>9280</v>
      </c>
      <c r="AU140" s="30">
        <v>21460</v>
      </c>
      <c r="AV140" s="197">
        <v>12180</v>
      </c>
      <c r="AW140" s="197">
        <v>9280</v>
      </c>
      <c r="AX140" s="197">
        <v>21460</v>
      </c>
      <c r="AY140" s="203"/>
      <c r="AZ140" s="203"/>
      <c r="BA140" s="203">
        <v>0</v>
      </c>
      <c r="BB140" s="41" t="s">
        <v>263</v>
      </c>
      <c r="BC140" s="191"/>
      <c r="BD140" s="190">
        <v>3</v>
      </c>
      <c r="BE140" s="30"/>
      <c r="BF140" s="186"/>
      <c r="BG140" s="183"/>
      <c r="BH140" s="183"/>
    </row>
    <row r="141" spans="1:60" ht="30" hidden="1" customHeight="1">
      <c r="A141" s="41" t="s">
        <v>421</v>
      </c>
      <c r="B141" s="116" t="s">
        <v>875</v>
      </c>
      <c r="C141" s="116">
        <v>2024</v>
      </c>
      <c r="D141" s="116"/>
      <c r="E141" s="117" t="s">
        <v>107</v>
      </c>
      <c r="F141" s="117" t="s">
        <v>108</v>
      </c>
      <c r="G141" s="116"/>
      <c r="H141" s="119"/>
      <c r="I141" s="118"/>
      <c r="J141" s="41" t="s">
        <v>110</v>
      </c>
      <c r="K141" s="41">
        <v>3</v>
      </c>
      <c r="L141" s="41" t="s">
        <v>110</v>
      </c>
      <c r="M141" s="41">
        <v>3</v>
      </c>
      <c r="N141" s="39" t="s">
        <v>115</v>
      </c>
      <c r="O141" s="39">
        <v>3</v>
      </c>
      <c r="P141" s="5" t="s">
        <v>111</v>
      </c>
      <c r="Q141" s="41"/>
      <c r="R141" s="5" t="s">
        <v>112</v>
      </c>
      <c r="S141" s="41">
        <v>5</v>
      </c>
      <c r="T141" s="5" t="s">
        <v>218</v>
      </c>
      <c r="U141" s="41"/>
      <c r="V141" s="41"/>
      <c r="W141" s="174">
        <v>45992</v>
      </c>
      <c r="X141" s="174">
        <v>45992</v>
      </c>
      <c r="Y141" s="41"/>
      <c r="Z141" s="42" t="s">
        <v>817</v>
      </c>
      <c r="AA141" s="37" t="s">
        <v>876</v>
      </c>
      <c r="AB141" s="42" t="s">
        <v>118</v>
      </c>
      <c r="AC141" s="42" t="s">
        <v>427</v>
      </c>
      <c r="AD141" s="51"/>
      <c r="AE141" s="51"/>
      <c r="AF141" s="12">
        <f t="shared" si="2"/>
        <v>94</v>
      </c>
      <c r="AG141" s="7">
        <v>100</v>
      </c>
      <c r="AH141" s="7" t="s">
        <v>877</v>
      </c>
      <c r="AI141" s="7">
        <v>80</v>
      </c>
      <c r="AJ141" s="7" t="s">
        <v>878</v>
      </c>
      <c r="AK141" s="7">
        <v>100</v>
      </c>
      <c r="AL141" s="7" t="s">
        <v>879</v>
      </c>
      <c r="AM141" s="7">
        <v>100</v>
      </c>
      <c r="AN141" s="7" t="s">
        <v>880</v>
      </c>
      <c r="AO141" s="63">
        <v>5.8</v>
      </c>
      <c r="AP141" s="58">
        <v>1600</v>
      </c>
      <c r="AQ141" s="62">
        <f>AVERAGE(350,330,330)</f>
        <v>336.66666666666669</v>
      </c>
      <c r="AR141" s="62">
        <f>AVERAGE(350,330,330)</f>
        <v>336.66666666666669</v>
      </c>
      <c r="AS141" s="30">
        <v>46864</v>
      </c>
      <c r="AT141" s="30">
        <v>27840</v>
      </c>
      <c r="AU141" s="30">
        <v>74704</v>
      </c>
      <c r="AV141" s="197">
        <v>46864</v>
      </c>
      <c r="AW141" s="197">
        <v>27840</v>
      </c>
      <c r="AX141" s="197">
        <v>74704</v>
      </c>
      <c r="AY141" s="203"/>
      <c r="AZ141" s="203"/>
      <c r="BA141" s="203">
        <v>0</v>
      </c>
      <c r="BB141" s="41" t="s">
        <v>870</v>
      </c>
      <c r="BC141" s="191"/>
      <c r="BD141" s="190">
        <v>3</v>
      </c>
      <c r="BE141" s="30"/>
      <c r="BF141" s="186"/>
      <c r="BG141" s="183"/>
      <c r="BH141" s="183"/>
    </row>
    <row r="142" spans="1:60" ht="30" hidden="1" customHeight="1">
      <c r="A142" s="41" t="s">
        <v>183</v>
      </c>
      <c r="B142" s="116" t="s">
        <v>881</v>
      </c>
      <c r="C142" s="116">
        <v>2024</v>
      </c>
      <c r="D142" s="116" t="s">
        <v>882</v>
      </c>
      <c r="E142" s="117" t="s">
        <v>107</v>
      </c>
      <c r="F142" s="117" t="s">
        <v>340</v>
      </c>
      <c r="G142" s="116" t="s">
        <v>883</v>
      </c>
      <c r="H142" s="119"/>
      <c r="I142" s="118"/>
      <c r="J142" s="41" t="s">
        <v>110</v>
      </c>
      <c r="K142" s="41">
        <v>2</v>
      </c>
      <c r="L142" s="41" t="s">
        <v>110</v>
      </c>
      <c r="M142" s="41">
        <v>2</v>
      </c>
      <c r="N142" s="39" t="s">
        <v>115</v>
      </c>
      <c r="O142" s="39">
        <v>2</v>
      </c>
      <c r="P142" s="5" t="s">
        <v>111</v>
      </c>
      <c r="Q142" s="41"/>
      <c r="R142" s="5" t="s">
        <v>112</v>
      </c>
      <c r="S142" s="41">
        <v>3</v>
      </c>
      <c r="T142" s="41" t="s">
        <v>232</v>
      </c>
      <c r="U142" s="41"/>
      <c r="V142" s="41"/>
      <c r="W142" s="174">
        <v>45992</v>
      </c>
      <c r="X142" s="174">
        <v>45992</v>
      </c>
      <c r="Y142" s="41"/>
      <c r="Z142" s="42" t="s">
        <v>817</v>
      </c>
      <c r="AA142" s="37" t="s">
        <v>235</v>
      </c>
      <c r="AB142" s="42" t="s">
        <v>118</v>
      </c>
      <c r="AC142" s="42" t="s">
        <v>262</v>
      </c>
      <c r="AD142" s="51"/>
      <c r="AE142" s="51"/>
      <c r="AF142" s="12">
        <f t="shared" si="2"/>
        <v>94</v>
      </c>
      <c r="AG142" s="7">
        <v>100</v>
      </c>
      <c r="AH142" s="7" t="s">
        <v>884</v>
      </c>
      <c r="AI142" s="7">
        <v>80</v>
      </c>
      <c r="AJ142" s="7" t="s">
        <v>885</v>
      </c>
      <c r="AK142" s="7">
        <v>100</v>
      </c>
      <c r="AL142" s="7" t="s">
        <v>192</v>
      </c>
      <c r="AM142" s="7">
        <v>100</v>
      </c>
      <c r="AN142" s="7" t="s">
        <v>880</v>
      </c>
      <c r="AO142" s="63">
        <v>5.8</v>
      </c>
      <c r="AP142" s="58">
        <v>1600</v>
      </c>
      <c r="AQ142" s="58">
        <f>AVERAGE(460,420)</f>
        <v>440</v>
      </c>
      <c r="AR142" s="58">
        <f>AVERAGE(460,420)</f>
        <v>440</v>
      </c>
      <c r="AS142" s="30">
        <v>30624</v>
      </c>
      <c r="AT142" s="30">
        <v>18560</v>
      </c>
      <c r="AU142" s="30">
        <v>49184</v>
      </c>
      <c r="AV142" s="197">
        <v>30624</v>
      </c>
      <c r="AW142" s="197">
        <v>18560</v>
      </c>
      <c r="AX142" s="197">
        <v>49184</v>
      </c>
      <c r="AY142" s="203"/>
      <c r="AZ142" s="203"/>
      <c r="BA142" s="203">
        <v>0</v>
      </c>
      <c r="BB142" s="41" t="s">
        <v>263</v>
      </c>
      <c r="BC142" s="191"/>
      <c r="BD142" s="190">
        <v>3</v>
      </c>
      <c r="BE142" s="30"/>
      <c r="BF142" s="186"/>
      <c r="BG142" s="183"/>
      <c r="BH142" s="183"/>
    </row>
    <row r="143" spans="1:60" ht="30" hidden="1" customHeight="1">
      <c r="A143" s="41" t="s">
        <v>228</v>
      </c>
      <c r="B143" s="116" t="s">
        <v>886</v>
      </c>
      <c r="C143" s="116" t="s">
        <v>887</v>
      </c>
      <c r="D143" s="116"/>
      <c r="E143" s="117" t="s">
        <v>107</v>
      </c>
      <c r="F143" s="117" t="s">
        <v>108</v>
      </c>
      <c r="G143" s="116"/>
      <c r="H143" s="119"/>
      <c r="I143" s="118"/>
      <c r="J143" s="41" t="s">
        <v>110</v>
      </c>
      <c r="K143" s="41">
        <v>1</v>
      </c>
      <c r="L143" s="41" t="s">
        <v>110</v>
      </c>
      <c r="M143" s="41">
        <v>1</v>
      </c>
      <c r="N143" s="39"/>
      <c r="O143" s="39"/>
      <c r="P143" s="5" t="s">
        <v>111</v>
      </c>
      <c r="Q143" s="41"/>
      <c r="R143" s="5" t="s">
        <v>112</v>
      </c>
      <c r="S143" s="41">
        <v>3</v>
      </c>
      <c r="T143" s="41" t="s">
        <v>232</v>
      </c>
      <c r="U143" s="41"/>
      <c r="V143" s="41"/>
      <c r="W143" s="174">
        <v>45992</v>
      </c>
      <c r="X143" s="174">
        <v>45992</v>
      </c>
      <c r="Y143" s="41"/>
      <c r="Z143" s="42" t="s">
        <v>817</v>
      </c>
      <c r="AA143" s="37" t="s">
        <v>888</v>
      </c>
      <c r="AB143" s="42" t="s">
        <v>517</v>
      </c>
      <c r="AC143" s="42" t="s">
        <v>889</v>
      </c>
      <c r="AD143" s="51"/>
      <c r="AE143" s="51"/>
      <c r="AF143" s="12">
        <f t="shared" si="2"/>
        <v>94</v>
      </c>
      <c r="AG143" s="7">
        <v>100</v>
      </c>
      <c r="AH143" s="7"/>
      <c r="AI143" s="7">
        <v>80</v>
      </c>
      <c r="AJ143" s="7"/>
      <c r="AK143" s="7">
        <v>100</v>
      </c>
      <c r="AL143" s="7"/>
      <c r="AM143" s="7">
        <v>100</v>
      </c>
      <c r="AN143" s="7"/>
      <c r="AO143" s="63">
        <v>5.8</v>
      </c>
      <c r="AP143" s="58">
        <v>1600</v>
      </c>
      <c r="AQ143" s="58">
        <v>460</v>
      </c>
      <c r="AR143" s="58">
        <v>460</v>
      </c>
      <c r="AS143" s="30">
        <v>16008</v>
      </c>
      <c r="AT143" s="30">
        <v>9280</v>
      </c>
      <c r="AU143" s="30">
        <v>25288</v>
      </c>
      <c r="AV143" s="197">
        <v>16008</v>
      </c>
      <c r="AW143" s="197">
        <v>9280</v>
      </c>
      <c r="AX143" s="197">
        <v>25288</v>
      </c>
      <c r="AY143" s="203"/>
      <c r="AZ143" s="203"/>
      <c r="BA143" s="203">
        <v>0</v>
      </c>
      <c r="BB143" s="41" t="s">
        <v>263</v>
      </c>
      <c r="BC143" s="191"/>
      <c r="BD143" s="190">
        <v>3</v>
      </c>
      <c r="BE143" s="30"/>
      <c r="BF143" s="186"/>
      <c r="BG143" s="183"/>
      <c r="BH143" s="183"/>
    </row>
    <row r="144" spans="1:60" ht="30" hidden="1" customHeight="1">
      <c r="A144" s="41" t="s">
        <v>867</v>
      </c>
      <c r="B144" s="116" t="s">
        <v>890</v>
      </c>
      <c r="C144" s="116">
        <v>2025</v>
      </c>
      <c r="D144" s="116" t="s">
        <v>891</v>
      </c>
      <c r="E144" s="117" t="s">
        <v>201</v>
      </c>
      <c r="F144" s="117" t="s">
        <v>166</v>
      </c>
      <c r="G144" s="116" t="s">
        <v>892</v>
      </c>
      <c r="H144" s="119"/>
      <c r="I144" s="118"/>
      <c r="J144" s="41" t="s">
        <v>110</v>
      </c>
      <c r="K144" s="41">
        <v>1</v>
      </c>
      <c r="L144" s="41" t="s">
        <v>110</v>
      </c>
      <c r="M144" s="41">
        <v>1</v>
      </c>
      <c r="N144" s="39"/>
      <c r="O144" s="39"/>
      <c r="P144" s="5" t="s">
        <v>111</v>
      </c>
      <c r="Q144" s="41"/>
      <c r="R144" s="5" t="s">
        <v>112</v>
      </c>
      <c r="S144" s="41">
        <v>3</v>
      </c>
      <c r="T144" s="41" t="s">
        <v>397</v>
      </c>
      <c r="U144" s="41"/>
      <c r="V144" s="41"/>
      <c r="W144" s="174">
        <v>45992</v>
      </c>
      <c r="X144" s="174">
        <v>45992</v>
      </c>
      <c r="Y144" s="41"/>
      <c r="Z144" s="42" t="s">
        <v>817</v>
      </c>
      <c r="AA144" s="37"/>
      <c r="AB144" s="42" t="s">
        <v>118</v>
      </c>
      <c r="AC144" s="42"/>
      <c r="AD144" s="51"/>
      <c r="AE144" s="51"/>
      <c r="AF144" s="12">
        <f t="shared" si="2"/>
        <v>94</v>
      </c>
      <c r="AG144" s="7">
        <v>100</v>
      </c>
      <c r="AH144" s="7"/>
      <c r="AI144" s="7">
        <v>80</v>
      </c>
      <c r="AJ144" s="7"/>
      <c r="AK144" s="7">
        <v>100</v>
      </c>
      <c r="AL144" s="7"/>
      <c r="AM144" s="7">
        <v>100</v>
      </c>
      <c r="AN144" s="7"/>
      <c r="AO144" s="63">
        <v>5.8</v>
      </c>
      <c r="AP144" s="58">
        <v>1600</v>
      </c>
      <c r="AQ144" s="58">
        <v>300</v>
      </c>
      <c r="AR144" s="58">
        <v>300</v>
      </c>
      <c r="AS144" s="30">
        <v>10440</v>
      </c>
      <c r="AT144" s="30">
        <v>9280</v>
      </c>
      <c r="AU144" s="30">
        <v>19720</v>
      </c>
      <c r="AV144" s="197">
        <v>10440</v>
      </c>
      <c r="AW144" s="197">
        <v>9280</v>
      </c>
      <c r="AX144" s="197">
        <v>19720</v>
      </c>
      <c r="AY144" s="203"/>
      <c r="AZ144" s="203"/>
      <c r="BA144" s="203">
        <v>0</v>
      </c>
      <c r="BB144" s="41" t="s">
        <v>893</v>
      </c>
      <c r="BC144" s="191"/>
      <c r="BD144" s="190">
        <v>3</v>
      </c>
      <c r="BE144" s="30"/>
      <c r="BF144" s="186"/>
      <c r="BG144" s="183"/>
      <c r="BH144" s="183"/>
    </row>
    <row r="145" spans="1:60" ht="30" hidden="1" customHeight="1">
      <c r="A145" s="41" t="s">
        <v>122</v>
      </c>
      <c r="B145" s="116" t="s">
        <v>894</v>
      </c>
      <c r="C145" s="116" t="s">
        <v>175</v>
      </c>
      <c r="D145" s="116"/>
      <c r="E145" s="117" t="s">
        <v>402</v>
      </c>
      <c r="F145" s="117" t="s">
        <v>396</v>
      </c>
      <c r="G145" s="116" t="s">
        <v>895</v>
      </c>
      <c r="H145" s="119" t="s">
        <v>591</v>
      </c>
      <c r="I145" s="118"/>
      <c r="J145" s="41" t="s">
        <v>110</v>
      </c>
      <c r="K145" s="41">
        <v>2</v>
      </c>
      <c r="L145" s="41" t="s">
        <v>110</v>
      </c>
      <c r="M145" s="41">
        <v>2</v>
      </c>
      <c r="N145" s="39" t="s">
        <v>115</v>
      </c>
      <c r="O145" s="39">
        <v>1</v>
      </c>
      <c r="P145" s="5" t="s">
        <v>111</v>
      </c>
      <c r="Q145" s="41"/>
      <c r="R145" s="5" t="s">
        <v>112</v>
      </c>
      <c r="S145" s="41">
        <v>3</v>
      </c>
      <c r="T145" s="41" t="s">
        <v>285</v>
      </c>
      <c r="U145" s="41"/>
      <c r="V145" s="41"/>
      <c r="W145" s="174">
        <v>45992</v>
      </c>
      <c r="X145" s="174">
        <v>45992</v>
      </c>
      <c r="Y145" s="41"/>
      <c r="Z145" s="42" t="s">
        <v>116</v>
      </c>
      <c r="AA145" s="42" t="s">
        <v>896</v>
      </c>
      <c r="AB145" s="42" t="s">
        <v>897</v>
      </c>
      <c r="AC145" s="42"/>
      <c r="AD145" s="42"/>
      <c r="AE145" s="42"/>
      <c r="AF145" s="12">
        <f t="shared" si="2"/>
        <v>90</v>
      </c>
      <c r="AG145" s="7">
        <v>80</v>
      </c>
      <c r="AH145" s="7"/>
      <c r="AI145" s="7">
        <v>100</v>
      </c>
      <c r="AJ145" s="7" t="s">
        <v>898</v>
      </c>
      <c r="AK145" s="7">
        <v>100</v>
      </c>
      <c r="AL145" s="7"/>
      <c r="AM145" s="7">
        <v>80</v>
      </c>
      <c r="AN145" s="7"/>
      <c r="AO145" s="63">
        <v>5.8</v>
      </c>
      <c r="AP145" s="58">
        <v>1600</v>
      </c>
      <c r="AQ145" s="58">
        <v>350</v>
      </c>
      <c r="AR145" s="58">
        <v>350</v>
      </c>
      <c r="AS145" s="30">
        <v>24360</v>
      </c>
      <c r="AT145" s="30">
        <v>18560</v>
      </c>
      <c r="AU145" s="30">
        <v>42920</v>
      </c>
      <c r="AV145" s="197">
        <v>24360</v>
      </c>
      <c r="AW145" s="197">
        <v>18560</v>
      </c>
      <c r="AX145" s="197">
        <v>42920</v>
      </c>
      <c r="AY145" s="203"/>
      <c r="AZ145" s="203"/>
      <c r="BA145" s="203">
        <v>0</v>
      </c>
      <c r="BB145" s="41" t="s">
        <v>899</v>
      </c>
      <c r="BC145" s="191"/>
      <c r="BD145" s="190">
        <v>3</v>
      </c>
      <c r="BE145" s="30"/>
      <c r="BF145" s="186"/>
      <c r="BG145" s="183"/>
      <c r="BH145" s="183"/>
    </row>
    <row r="146" spans="1:60" ht="30" hidden="1" customHeight="1">
      <c r="A146" s="41" t="s">
        <v>391</v>
      </c>
      <c r="B146" s="116" t="s">
        <v>900</v>
      </c>
      <c r="C146" s="116" t="s">
        <v>901</v>
      </c>
      <c r="D146" s="116"/>
      <c r="E146" s="117" t="s">
        <v>339</v>
      </c>
      <c r="F146" s="117" t="s">
        <v>340</v>
      </c>
      <c r="G146" s="116"/>
      <c r="H146" s="119"/>
      <c r="I146" s="118"/>
      <c r="J146" s="41" t="s">
        <v>178</v>
      </c>
      <c r="K146" s="41">
        <v>1</v>
      </c>
      <c r="L146" s="41" t="s">
        <v>178</v>
      </c>
      <c r="M146" s="41">
        <v>1</v>
      </c>
      <c r="N146" s="39"/>
      <c r="O146" s="39"/>
      <c r="P146" s="5" t="s">
        <v>179</v>
      </c>
      <c r="Q146" s="41"/>
      <c r="R146" s="5" t="s">
        <v>112</v>
      </c>
      <c r="S146" s="41">
        <v>4</v>
      </c>
      <c r="T146" s="41" t="s">
        <v>801</v>
      </c>
      <c r="U146" s="41"/>
      <c r="V146" s="41"/>
      <c r="W146" s="174"/>
      <c r="X146" s="174"/>
      <c r="Y146" s="41"/>
      <c r="Z146" s="42" t="s">
        <v>902</v>
      </c>
      <c r="AA146" s="37" t="s">
        <v>903</v>
      </c>
      <c r="AB146" s="37" t="s">
        <v>345</v>
      </c>
      <c r="AC146" s="42" t="s">
        <v>645</v>
      </c>
      <c r="AD146" s="42"/>
      <c r="AE146" s="42"/>
      <c r="AF146" s="12">
        <f t="shared" si="2"/>
        <v>58</v>
      </c>
      <c r="AG146" s="7">
        <v>60</v>
      </c>
      <c r="AH146" s="7"/>
      <c r="AI146" s="7">
        <v>60</v>
      </c>
      <c r="AJ146" s="7"/>
      <c r="AK146" s="7">
        <v>40</v>
      </c>
      <c r="AL146" s="7"/>
      <c r="AM146" s="7">
        <v>80</v>
      </c>
      <c r="AN146" s="7"/>
      <c r="AO146" s="63">
        <v>5.8</v>
      </c>
      <c r="AP146" s="58">
        <v>1600</v>
      </c>
      <c r="AQ146" s="58">
        <v>420</v>
      </c>
      <c r="AR146" s="58">
        <v>420</v>
      </c>
      <c r="AS146" s="30">
        <v>17052</v>
      </c>
      <c r="AT146" s="30">
        <v>9280</v>
      </c>
      <c r="AU146" s="30">
        <v>26332</v>
      </c>
      <c r="AV146" s="197">
        <v>17052</v>
      </c>
      <c r="AW146" s="197">
        <v>9280</v>
      </c>
      <c r="AX146" s="197">
        <v>26332</v>
      </c>
      <c r="AY146" s="203"/>
      <c r="AZ146" s="203"/>
      <c r="BA146" s="203">
        <v>0</v>
      </c>
      <c r="BB146" s="41" t="s">
        <v>349</v>
      </c>
      <c r="BC146" s="191"/>
      <c r="BD146" s="189">
        <v>3</v>
      </c>
      <c r="BE146" s="30"/>
      <c r="BF146" s="186"/>
      <c r="BG146" s="183"/>
      <c r="BH146" s="183"/>
    </row>
    <row r="147" spans="1:60" ht="30" hidden="1" customHeight="1">
      <c r="A147" s="41" t="s">
        <v>122</v>
      </c>
      <c r="B147" s="116" t="s">
        <v>904</v>
      </c>
      <c r="C147" s="116" t="s">
        <v>905</v>
      </c>
      <c r="D147" s="116" t="s">
        <v>906</v>
      </c>
      <c r="E147" s="117" t="s">
        <v>216</v>
      </c>
      <c r="F147" s="118" t="s">
        <v>217</v>
      </c>
      <c r="G147" s="116" t="s">
        <v>907</v>
      </c>
      <c r="H147" s="119" t="s">
        <v>908</v>
      </c>
      <c r="I147" s="118"/>
      <c r="J147" s="41" t="s">
        <v>110</v>
      </c>
      <c r="K147" s="41">
        <v>1</v>
      </c>
      <c r="L147" s="41" t="s">
        <v>110</v>
      </c>
      <c r="M147" s="41">
        <v>1</v>
      </c>
      <c r="N147" s="39" t="s">
        <v>115</v>
      </c>
      <c r="O147" s="39">
        <v>1</v>
      </c>
      <c r="P147" s="5" t="s">
        <v>111</v>
      </c>
      <c r="Q147" s="41"/>
      <c r="R147" s="5" t="s">
        <v>112</v>
      </c>
      <c r="S147" s="41">
        <v>5</v>
      </c>
      <c r="T147" s="41" t="s">
        <v>285</v>
      </c>
      <c r="U147" s="41"/>
      <c r="V147" s="41"/>
      <c r="W147" s="174">
        <v>45992</v>
      </c>
      <c r="X147" s="174">
        <v>45992</v>
      </c>
      <c r="Y147" s="41"/>
      <c r="Z147" s="42" t="s">
        <v>220</v>
      </c>
      <c r="AA147" s="42" t="s">
        <v>909</v>
      </c>
      <c r="AB147" s="42" t="s">
        <v>118</v>
      </c>
      <c r="AC147" s="42"/>
      <c r="AD147" s="42"/>
      <c r="AE147" s="42"/>
      <c r="AF147" s="12">
        <f t="shared" si="2"/>
        <v>90</v>
      </c>
      <c r="AG147" s="7">
        <v>80</v>
      </c>
      <c r="AH147" s="7"/>
      <c r="AI147" s="7">
        <v>100</v>
      </c>
      <c r="AJ147" s="7" t="s">
        <v>910</v>
      </c>
      <c r="AK147" s="7">
        <v>100</v>
      </c>
      <c r="AL147" s="7" t="s">
        <v>911</v>
      </c>
      <c r="AM147" s="7">
        <v>80</v>
      </c>
      <c r="AN147" s="7"/>
      <c r="AO147" s="63">
        <v>5.8</v>
      </c>
      <c r="AP147" s="58">
        <v>1600</v>
      </c>
      <c r="AQ147" s="58">
        <v>310</v>
      </c>
      <c r="AR147" s="58">
        <v>310</v>
      </c>
      <c r="AS147" s="30">
        <v>14384</v>
      </c>
      <c r="AT147" s="30">
        <v>9280</v>
      </c>
      <c r="AU147" s="30">
        <v>23664</v>
      </c>
      <c r="AV147" s="197">
        <v>14384</v>
      </c>
      <c r="AW147" s="197">
        <v>9280</v>
      </c>
      <c r="AX147" s="197">
        <v>23664</v>
      </c>
      <c r="AY147" s="203"/>
      <c r="AZ147" s="203"/>
      <c r="BA147" s="203">
        <v>0</v>
      </c>
      <c r="BB147" s="41" t="s">
        <v>912</v>
      </c>
      <c r="BC147" s="191"/>
      <c r="BD147" s="189">
        <v>3</v>
      </c>
      <c r="BE147" s="30" t="s">
        <v>537</v>
      </c>
      <c r="BF147" s="186"/>
      <c r="BG147" s="183"/>
      <c r="BH147" s="183"/>
    </row>
    <row r="148" spans="1:60" ht="30" hidden="1" customHeight="1">
      <c r="A148" s="118" t="s">
        <v>122</v>
      </c>
      <c r="B148" s="116" t="s">
        <v>529</v>
      </c>
      <c r="C148" s="116" t="s">
        <v>530</v>
      </c>
      <c r="D148" s="117" t="s">
        <v>531</v>
      </c>
      <c r="E148" s="117" t="s">
        <v>339</v>
      </c>
      <c r="F148" s="117" t="s">
        <v>340</v>
      </c>
      <c r="G148" s="116" t="s">
        <v>913</v>
      </c>
      <c r="H148" s="119"/>
      <c r="I148" s="118" t="s">
        <v>109</v>
      </c>
      <c r="J148" s="118" t="s">
        <v>110</v>
      </c>
      <c r="K148" s="118">
        <v>2</v>
      </c>
      <c r="L148" s="118" t="s">
        <v>110</v>
      </c>
      <c r="M148" s="118">
        <v>1</v>
      </c>
      <c r="N148" s="208" t="s">
        <v>115</v>
      </c>
      <c r="O148" s="208">
        <v>1</v>
      </c>
      <c r="P148" s="5" t="s">
        <v>111</v>
      </c>
      <c r="Q148" s="41">
        <v>1</v>
      </c>
      <c r="R148" s="5" t="s">
        <v>112</v>
      </c>
      <c r="S148" s="118">
        <v>4</v>
      </c>
      <c r="T148" s="5" t="s">
        <v>218</v>
      </c>
      <c r="U148" s="118" t="s">
        <v>219</v>
      </c>
      <c r="V148" s="174"/>
      <c r="W148" s="174">
        <v>45741</v>
      </c>
      <c r="X148" s="174">
        <v>45745</v>
      </c>
      <c r="Y148" s="118" t="s">
        <v>115</v>
      </c>
      <c r="Z148" s="37" t="s">
        <v>141</v>
      </c>
      <c r="AA148" s="37" t="s">
        <v>914</v>
      </c>
      <c r="AB148" s="37" t="s">
        <v>118</v>
      </c>
      <c r="AC148" s="37" t="s">
        <v>346</v>
      </c>
      <c r="AD148" s="37"/>
      <c r="AE148" s="37"/>
      <c r="AF148" s="12">
        <f t="shared" si="2"/>
        <v>72</v>
      </c>
      <c r="AG148" s="7">
        <v>80</v>
      </c>
      <c r="AH148" s="7"/>
      <c r="AI148" s="7">
        <v>80</v>
      </c>
      <c r="AJ148" s="7" t="s">
        <v>915</v>
      </c>
      <c r="AK148" s="7">
        <v>40</v>
      </c>
      <c r="AL148" s="7"/>
      <c r="AM148" s="7">
        <v>80</v>
      </c>
      <c r="AN148" s="7"/>
      <c r="AO148" s="63">
        <v>5.8</v>
      </c>
      <c r="AP148" s="58">
        <v>1600</v>
      </c>
      <c r="AQ148" s="58">
        <v>330</v>
      </c>
      <c r="AR148" s="58">
        <v>330</v>
      </c>
      <c r="AS148" s="30">
        <v>26796</v>
      </c>
      <c r="AT148" s="30"/>
      <c r="AU148" s="30">
        <v>26796</v>
      </c>
      <c r="AV148" s="197">
        <v>13398</v>
      </c>
      <c r="AW148" s="197"/>
      <c r="AX148" s="197">
        <v>13398</v>
      </c>
      <c r="AY148" s="203">
        <v>12387.13</v>
      </c>
      <c r="AZ148" s="203">
        <v>6637.45</v>
      </c>
      <c r="BA148" s="203">
        <v>12387.13</v>
      </c>
      <c r="BB148" s="41" t="s">
        <v>916</v>
      </c>
      <c r="BC148" s="191" t="s">
        <v>536</v>
      </c>
      <c r="BD148" s="189">
        <v>3</v>
      </c>
      <c r="BE148" s="30"/>
      <c r="BF148" s="186"/>
      <c r="BG148" s="183"/>
      <c r="BH148" s="183"/>
    </row>
    <row r="149" spans="1:60" ht="30" hidden="1" customHeight="1">
      <c r="A149" s="41" t="s">
        <v>122</v>
      </c>
      <c r="B149" s="116" t="s">
        <v>917</v>
      </c>
      <c r="C149" s="116" t="s">
        <v>918</v>
      </c>
      <c r="D149" s="116"/>
      <c r="E149" s="117" t="s">
        <v>216</v>
      </c>
      <c r="F149" s="117" t="s">
        <v>340</v>
      </c>
      <c r="G149" s="116" t="s">
        <v>907</v>
      </c>
      <c r="H149" s="119" t="s">
        <v>908</v>
      </c>
      <c r="I149" s="118"/>
      <c r="J149" s="41" t="s">
        <v>110</v>
      </c>
      <c r="K149" s="41">
        <v>2</v>
      </c>
      <c r="L149" s="41" t="s">
        <v>110</v>
      </c>
      <c r="M149" s="41">
        <v>1</v>
      </c>
      <c r="N149" s="39" t="s">
        <v>115</v>
      </c>
      <c r="O149" s="39">
        <v>1</v>
      </c>
      <c r="P149" s="5" t="s">
        <v>111</v>
      </c>
      <c r="Q149" s="41"/>
      <c r="R149" s="41" t="s">
        <v>112</v>
      </c>
      <c r="S149" s="41">
        <v>5</v>
      </c>
      <c r="T149" s="41" t="s">
        <v>801</v>
      </c>
      <c r="U149" s="41"/>
      <c r="V149" s="41"/>
      <c r="W149" s="174">
        <v>45992</v>
      </c>
      <c r="X149" s="174">
        <v>45992</v>
      </c>
      <c r="Y149" s="41"/>
      <c r="Z149" s="42" t="s">
        <v>220</v>
      </c>
      <c r="AA149" s="42" t="s">
        <v>919</v>
      </c>
      <c r="AB149" s="42" t="s">
        <v>118</v>
      </c>
      <c r="AC149" s="42"/>
      <c r="AD149" s="42"/>
      <c r="AE149" s="42"/>
      <c r="AF149" s="12">
        <f t="shared" si="2"/>
        <v>90</v>
      </c>
      <c r="AG149" s="7">
        <v>80</v>
      </c>
      <c r="AH149" s="7"/>
      <c r="AI149" s="7">
        <v>100</v>
      </c>
      <c r="AJ149" s="7" t="s">
        <v>910</v>
      </c>
      <c r="AK149" s="7">
        <v>100</v>
      </c>
      <c r="AL149" s="7" t="s">
        <v>911</v>
      </c>
      <c r="AM149" s="7">
        <v>80</v>
      </c>
      <c r="AN149" s="7"/>
      <c r="AO149" s="63">
        <v>5.8</v>
      </c>
      <c r="AP149" s="58">
        <v>1600</v>
      </c>
      <c r="AQ149" s="58">
        <v>390</v>
      </c>
      <c r="AR149" s="58">
        <v>390</v>
      </c>
      <c r="AS149" s="30">
        <v>36192</v>
      </c>
      <c r="AT149" s="30">
        <v>18560</v>
      </c>
      <c r="AU149" s="30">
        <v>54752</v>
      </c>
      <c r="AV149" s="197">
        <v>18096</v>
      </c>
      <c r="AW149" s="197">
        <v>9280</v>
      </c>
      <c r="AX149" s="197">
        <v>27376</v>
      </c>
      <c r="AY149" s="203"/>
      <c r="AZ149" s="203"/>
      <c r="BA149" s="203">
        <v>0</v>
      </c>
      <c r="BB149" s="41" t="s">
        <v>920</v>
      </c>
      <c r="BC149" s="191"/>
      <c r="BD149" s="189">
        <v>3</v>
      </c>
      <c r="BE149" s="30" t="s">
        <v>537</v>
      </c>
      <c r="BF149" s="186"/>
      <c r="BG149" s="183"/>
      <c r="BH149" s="183"/>
    </row>
    <row r="150" spans="1:60" ht="30" customHeight="1">
      <c r="A150" s="41" t="s">
        <v>735</v>
      </c>
      <c r="B150" s="116" t="s">
        <v>921</v>
      </c>
      <c r="C150" s="116" t="s">
        <v>922</v>
      </c>
      <c r="D150" s="116"/>
      <c r="E150" s="117" t="s">
        <v>195</v>
      </c>
      <c r="F150" s="117" t="s">
        <v>166</v>
      </c>
      <c r="G150" s="116" t="s">
        <v>923</v>
      </c>
      <c r="H150" s="119"/>
      <c r="I150" s="118"/>
      <c r="J150" s="41" t="s">
        <v>110</v>
      </c>
      <c r="K150" s="41">
        <v>1</v>
      </c>
      <c r="L150" s="41" t="s">
        <v>110</v>
      </c>
      <c r="M150" s="41">
        <v>1</v>
      </c>
      <c r="N150" s="39" t="s">
        <v>115</v>
      </c>
      <c r="O150" s="39">
        <v>1</v>
      </c>
      <c r="P150" s="5" t="s">
        <v>111</v>
      </c>
      <c r="Q150" s="41"/>
      <c r="R150" s="5" t="s">
        <v>112</v>
      </c>
      <c r="S150" s="41">
        <v>3</v>
      </c>
      <c r="T150" s="41" t="s">
        <v>924</v>
      </c>
      <c r="U150" s="41"/>
      <c r="V150" s="41" t="s">
        <v>115</v>
      </c>
      <c r="W150" s="174">
        <v>45992</v>
      </c>
      <c r="X150" s="174">
        <v>45992</v>
      </c>
      <c r="Y150" s="41"/>
      <c r="Z150" s="42" t="s">
        <v>817</v>
      </c>
      <c r="AA150" s="37" t="s">
        <v>925</v>
      </c>
      <c r="AB150" s="42" t="s">
        <v>118</v>
      </c>
      <c r="AC150" s="42"/>
      <c r="AD150" s="51"/>
      <c r="AE150" s="51"/>
      <c r="AF150" s="12">
        <f t="shared" si="2"/>
        <v>90</v>
      </c>
      <c r="AG150" s="7">
        <v>100</v>
      </c>
      <c r="AH150" s="7" t="s">
        <v>926</v>
      </c>
      <c r="AI150" s="7">
        <v>80</v>
      </c>
      <c r="AJ150" s="7" t="s">
        <v>927</v>
      </c>
      <c r="AK150" s="7">
        <v>80</v>
      </c>
      <c r="AL150" s="7" t="s">
        <v>928</v>
      </c>
      <c r="AM150" s="7">
        <v>100</v>
      </c>
      <c r="AN150" s="7" t="s">
        <v>929</v>
      </c>
      <c r="AO150" s="63">
        <v>5.8</v>
      </c>
      <c r="AP150" s="58">
        <v>800</v>
      </c>
      <c r="AQ150" s="58">
        <v>280</v>
      </c>
      <c r="AR150" s="58">
        <v>280</v>
      </c>
      <c r="AS150" s="30">
        <v>8120</v>
      </c>
      <c r="AT150" s="30">
        <v>4640</v>
      </c>
      <c r="AU150" s="30">
        <v>12760</v>
      </c>
      <c r="AV150" s="197">
        <v>8120</v>
      </c>
      <c r="AW150" s="197">
        <v>4640</v>
      </c>
      <c r="AX150" s="197">
        <v>12760</v>
      </c>
      <c r="AY150" s="203"/>
      <c r="AZ150" s="203"/>
      <c r="BA150" s="203">
        <v>0</v>
      </c>
      <c r="BB150" s="41" t="s">
        <v>930</v>
      </c>
      <c r="BC150" s="191"/>
      <c r="BD150" s="190">
        <v>2</v>
      </c>
      <c r="BE150" s="30"/>
      <c r="BF150" s="186"/>
      <c r="BG150" s="183"/>
      <c r="BH150" s="183"/>
    </row>
    <row r="151" spans="1:60" ht="30" hidden="1" customHeight="1">
      <c r="A151" s="41" t="s">
        <v>735</v>
      </c>
      <c r="B151" s="116" t="s">
        <v>921</v>
      </c>
      <c r="C151" s="116" t="s">
        <v>922</v>
      </c>
      <c r="D151" s="116"/>
      <c r="E151" s="117" t="s">
        <v>625</v>
      </c>
      <c r="F151" s="117" t="s">
        <v>166</v>
      </c>
      <c r="G151" s="116" t="s">
        <v>763</v>
      </c>
      <c r="H151" s="119"/>
      <c r="I151" s="118"/>
      <c r="J151" s="41" t="s">
        <v>110</v>
      </c>
      <c r="K151" s="41">
        <v>1</v>
      </c>
      <c r="L151" s="41" t="s">
        <v>110</v>
      </c>
      <c r="M151" s="41">
        <v>1</v>
      </c>
      <c r="N151" s="39"/>
      <c r="O151" s="39"/>
      <c r="P151" s="5" t="s">
        <v>111</v>
      </c>
      <c r="Q151" s="41"/>
      <c r="R151" s="41" t="s">
        <v>112</v>
      </c>
      <c r="S151" s="41">
        <v>3</v>
      </c>
      <c r="T151" s="41" t="s">
        <v>924</v>
      </c>
      <c r="U151" s="41"/>
      <c r="V151" s="41" t="s">
        <v>115</v>
      </c>
      <c r="W151" s="174">
        <v>45992</v>
      </c>
      <c r="X151" s="174">
        <v>45992</v>
      </c>
      <c r="Y151" s="41"/>
      <c r="Z151" s="42" t="s">
        <v>817</v>
      </c>
      <c r="AA151" s="37" t="s">
        <v>925</v>
      </c>
      <c r="AB151" s="42" t="s">
        <v>118</v>
      </c>
      <c r="AC151" s="42"/>
      <c r="AD151" s="51"/>
      <c r="AE151" s="51"/>
      <c r="AF151" s="12">
        <f t="shared" si="2"/>
        <v>90</v>
      </c>
      <c r="AG151" s="7">
        <v>100</v>
      </c>
      <c r="AH151" s="7" t="s">
        <v>926</v>
      </c>
      <c r="AI151" s="7">
        <v>80</v>
      </c>
      <c r="AJ151" s="7" t="s">
        <v>927</v>
      </c>
      <c r="AK151" s="7">
        <v>80</v>
      </c>
      <c r="AL151" s="7" t="s">
        <v>928</v>
      </c>
      <c r="AM151" s="7">
        <v>100</v>
      </c>
      <c r="AN151" s="7" t="s">
        <v>929</v>
      </c>
      <c r="AO151" s="63">
        <v>5.8</v>
      </c>
      <c r="AP151" s="58">
        <v>800</v>
      </c>
      <c r="AQ151" s="58">
        <v>300</v>
      </c>
      <c r="AR151" s="58">
        <v>300</v>
      </c>
      <c r="AS151" s="30">
        <v>8700</v>
      </c>
      <c r="AT151" s="30">
        <v>4640</v>
      </c>
      <c r="AU151" s="30">
        <v>13340</v>
      </c>
      <c r="AV151" s="197">
        <v>8700</v>
      </c>
      <c r="AW151" s="197">
        <v>4640</v>
      </c>
      <c r="AX151" s="197">
        <v>13340</v>
      </c>
      <c r="AY151" s="203"/>
      <c r="AZ151" s="203"/>
      <c r="BA151" s="203">
        <v>0</v>
      </c>
      <c r="BB151" s="41" t="s">
        <v>824</v>
      </c>
      <c r="BC151" s="191"/>
      <c r="BD151" s="190">
        <v>2</v>
      </c>
      <c r="BE151" s="30"/>
      <c r="BF151" s="186"/>
      <c r="BG151" s="183"/>
      <c r="BH151" s="183"/>
    </row>
    <row r="152" spans="1:60" ht="30" hidden="1" customHeight="1">
      <c r="A152" s="41" t="s">
        <v>735</v>
      </c>
      <c r="B152" s="116" t="s">
        <v>921</v>
      </c>
      <c r="C152" s="116" t="s">
        <v>922</v>
      </c>
      <c r="D152" s="116"/>
      <c r="E152" s="117" t="s">
        <v>201</v>
      </c>
      <c r="F152" s="117" t="s">
        <v>166</v>
      </c>
      <c r="G152" s="116" t="s">
        <v>763</v>
      </c>
      <c r="H152" s="119"/>
      <c r="I152" s="118"/>
      <c r="J152" s="41" t="s">
        <v>110</v>
      </c>
      <c r="K152" s="41">
        <v>1</v>
      </c>
      <c r="L152" s="41" t="s">
        <v>110</v>
      </c>
      <c r="M152" s="41">
        <v>1</v>
      </c>
      <c r="N152" s="39"/>
      <c r="O152" s="39"/>
      <c r="P152" s="5" t="s">
        <v>111</v>
      </c>
      <c r="Q152" s="41"/>
      <c r="R152" s="41" t="s">
        <v>112</v>
      </c>
      <c r="S152" s="41">
        <v>3</v>
      </c>
      <c r="T152" s="41" t="s">
        <v>924</v>
      </c>
      <c r="U152" s="41"/>
      <c r="V152" s="41" t="s">
        <v>115</v>
      </c>
      <c r="W152" s="174">
        <v>45992</v>
      </c>
      <c r="X152" s="174">
        <v>45992</v>
      </c>
      <c r="Y152" s="41"/>
      <c r="Z152" s="42" t="s">
        <v>817</v>
      </c>
      <c r="AA152" s="37" t="s">
        <v>925</v>
      </c>
      <c r="AB152" s="42" t="s">
        <v>118</v>
      </c>
      <c r="AC152" s="42"/>
      <c r="AD152" s="51"/>
      <c r="AE152" s="51"/>
      <c r="AF152" s="12">
        <f t="shared" si="2"/>
        <v>90</v>
      </c>
      <c r="AG152" s="7">
        <v>100</v>
      </c>
      <c r="AH152" s="7" t="s">
        <v>926</v>
      </c>
      <c r="AI152" s="7">
        <v>80</v>
      </c>
      <c r="AJ152" s="7" t="s">
        <v>927</v>
      </c>
      <c r="AK152" s="7">
        <v>80</v>
      </c>
      <c r="AL152" s="7" t="s">
        <v>928</v>
      </c>
      <c r="AM152" s="7">
        <v>100</v>
      </c>
      <c r="AN152" s="7" t="s">
        <v>929</v>
      </c>
      <c r="AO152" s="63">
        <v>5.8</v>
      </c>
      <c r="AP152" s="58">
        <v>800</v>
      </c>
      <c r="AQ152" s="58">
        <v>300</v>
      </c>
      <c r="AR152" s="58">
        <v>300</v>
      </c>
      <c r="AS152" s="30">
        <v>8700</v>
      </c>
      <c r="AT152" s="30">
        <v>4640</v>
      </c>
      <c r="AU152" s="30">
        <v>13340</v>
      </c>
      <c r="AV152" s="197">
        <v>8700</v>
      </c>
      <c r="AW152" s="197">
        <v>4640</v>
      </c>
      <c r="AX152" s="197">
        <v>13340</v>
      </c>
      <c r="AY152" s="203"/>
      <c r="AZ152" s="203"/>
      <c r="BA152" s="203">
        <v>0</v>
      </c>
      <c r="BB152" s="41" t="s">
        <v>202</v>
      </c>
      <c r="BC152" s="191"/>
      <c r="BD152" s="190">
        <v>2</v>
      </c>
      <c r="BE152" s="30"/>
      <c r="BF152" s="186"/>
      <c r="BG152" s="183"/>
      <c r="BH152" s="183"/>
    </row>
    <row r="153" spans="1:60" ht="30" hidden="1" customHeight="1">
      <c r="A153" s="41" t="s">
        <v>122</v>
      </c>
      <c r="B153" s="116" t="s">
        <v>931</v>
      </c>
      <c r="C153" s="116">
        <v>2025</v>
      </c>
      <c r="D153" s="116"/>
      <c r="E153" s="117" t="s">
        <v>165</v>
      </c>
      <c r="F153" s="117" t="s">
        <v>166</v>
      </c>
      <c r="G153" s="116" t="s">
        <v>932</v>
      </c>
      <c r="H153" s="119"/>
      <c r="I153" s="118"/>
      <c r="J153" s="41" t="s">
        <v>110</v>
      </c>
      <c r="K153" s="41">
        <v>2</v>
      </c>
      <c r="L153" s="41" t="s">
        <v>110</v>
      </c>
      <c r="M153" s="41">
        <v>2</v>
      </c>
      <c r="N153" s="39" t="s">
        <v>115</v>
      </c>
      <c r="O153" s="39">
        <v>2</v>
      </c>
      <c r="P153" s="5" t="s">
        <v>111</v>
      </c>
      <c r="Q153" s="41"/>
      <c r="R153" s="5" t="s">
        <v>112</v>
      </c>
      <c r="S153" s="41">
        <v>5</v>
      </c>
      <c r="T153" s="41" t="s">
        <v>933</v>
      </c>
      <c r="U153" s="41"/>
      <c r="V153" s="41" t="s">
        <v>115</v>
      </c>
      <c r="W153" s="174">
        <v>45992</v>
      </c>
      <c r="X153" s="174">
        <v>45992</v>
      </c>
      <c r="Y153" s="41"/>
      <c r="Z153" s="42" t="s">
        <v>220</v>
      </c>
      <c r="AA153" s="42" t="s">
        <v>863</v>
      </c>
      <c r="AB153" s="42" t="s">
        <v>118</v>
      </c>
      <c r="AC153" s="42" t="s">
        <v>864</v>
      </c>
      <c r="AD153" s="42"/>
      <c r="AE153" s="42"/>
      <c r="AF153" s="12">
        <f t="shared" si="2"/>
        <v>88</v>
      </c>
      <c r="AG153" s="7">
        <v>100</v>
      </c>
      <c r="AH153" s="7"/>
      <c r="AI153" s="7">
        <v>60</v>
      </c>
      <c r="AJ153" s="7" t="s">
        <v>934</v>
      </c>
      <c r="AK153" s="7">
        <v>100</v>
      </c>
      <c r="AL153" s="7" t="s">
        <v>935</v>
      </c>
      <c r="AM153" s="7">
        <v>100</v>
      </c>
      <c r="AN153" s="7" t="s">
        <v>865</v>
      </c>
      <c r="AO153" s="63">
        <v>5.8</v>
      </c>
      <c r="AP153" s="58">
        <v>1600</v>
      </c>
      <c r="AQ153" s="58">
        <f>AVERAGE(460,420)</f>
        <v>440</v>
      </c>
      <c r="AR153" s="58">
        <f>AVERAGE(460,420)</f>
        <v>440</v>
      </c>
      <c r="AS153" s="30">
        <v>40832</v>
      </c>
      <c r="AT153" s="30">
        <v>18560</v>
      </c>
      <c r="AU153" s="30">
        <v>59392</v>
      </c>
      <c r="AV153" s="197">
        <v>40832</v>
      </c>
      <c r="AW153" s="197">
        <v>18560</v>
      </c>
      <c r="AX153" s="197">
        <v>59392</v>
      </c>
      <c r="AY153" s="203"/>
      <c r="AZ153" s="203"/>
      <c r="BA153" s="203">
        <v>0</v>
      </c>
      <c r="BB153" s="41"/>
      <c r="BC153" s="191"/>
      <c r="BD153" s="189">
        <v>3</v>
      </c>
      <c r="BE153" s="30"/>
      <c r="BF153" s="186"/>
      <c r="BG153" s="183"/>
      <c r="BH153" s="183"/>
    </row>
    <row r="154" spans="1:60" ht="30" customHeight="1">
      <c r="A154" s="41" t="s">
        <v>290</v>
      </c>
      <c r="B154" s="116" t="s">
        <v>936</v>
      </c>
      <c r="C154" s="116" t="s">
        <v>937</v>
      </c>
      <c r="D154" s="116"/>
      <c r="E154" s="117" t="s">
        <v>195</v>
      </c>
      <c r="F154" s="117" t="s">
        <v>166</v>
      </c>
      <c r="G154" s="116" t="s">
        <v>938</v>
      </c>
      <c r="H154" s="119"/>
      <c r="I154" s="118"/>
      <c r="J154" s="41" t="s">
        <v>110</v>
      </c>
      <c r="K154" s="41">
        <v>0</v>
      </c>
      <c r="L154" s="41" t="s">
        <v>110</v>
      </c>
      <c r="M154" s="41">
        <v>0</v>
      </c>
      <c r="N154" s="39" t="s">
        <v>115</v>
      </c>
      <c r="O154" s="39">
        <v>1</v>
      </c>
      <c r="P154" s="5" t="s">
        <v>111</v>
      </c>
      <c r="Q154" s="41"/>
      <c r="R154" s="5" t="s">
        <v>112</v>
      </c>
      <c r="S154" s="41">
        <v>1</v>
      </c>
      <c r="T154" s="41" t="s">
        <v>253</v>
      </c>
      <c r="U154" s="41" t="s">
        <v>254</v>
      </c>
      <c r="V154" s="41" t="s">
        <v>253</v>
      </c>
      <c r="W154" s="174">
        <v>45992</v>
      </c>
      <c r="X154" s="174">
        <v>45992</v>
      </c>
      <c r="Y154" s="41"/>
      <c r="Z154" s="42" t="s">
        <v>817</v>
      </c>
      <c r="AA154" s="37" t="s">
        <v>939</v>
      </c>
      <c r="AB154" s="42" t="s">
        <v>118</v>
      </c>
      <c r="AC154" s="42"/>
      <c r="AD154" s="51"/>
      <c r="AE154" s="51"/>
      <c r="AF154" s="12">
        <f t="shared" si="2"/>
        <v>88</v>
      </c>
      <c r="AG154" s="7">
        <v>80</v>
      </c>
      <c r="AH154" s="7"/>
      <c r="AI154" s="7">
        <v>100</v>
      </c>
      <c r="AJ154" s="7" t="s">
        <v>940</v>
      </c>
      <c r="AK154" s="7">
        <v>80</v>
      </c>
      <c r="AL154" s="7"/>
      <c r="AM154" s="7">
        <v>100</v>
      </c>
      <c r="AN154" s="7" t="s">
        <v>255</v>
      </c>
      <c r="AO154" s="63">
        <v>5.8</v>
      </c>
      <c r="AP154" s="58"/>
      <c r="AQ154" s="58"/>
      <c r="AR154" s="58"/>
      <c r="AS154" s="30">
        <v>0</v>
      </c>
      <c r="AT154" s="30">
        <v>0</v>
      </c>
      <c r="AU154" s="30">
        <v>0</v>
      </c>
      <c r="AV154" s="197">
        <v>0</v>
      </c>
      <c r="AW154" s="197">
        <v>0</v>
      </c>
      <c r="AX154" s="197">
        <v>0</v>
      </c>
      <c r="AY154" s="203"/>
      <c r="AZ154" s="203"/>
      <c r="BA154" s="203">
        <v>0</v>
      </c>
      <c r="BB154" s="41"/>
      <c r="BC154" s="191"/>
      <c r="BD154" s="190">
        <v>1</v>
      </c>
      <c r="BE154" s="30"/>
      <c r="BF154" s="186"/>
      <c r="BG154" s="183"/>
      <c r="BH154" s="183"/>
    </row>
    <row r="155" spans="1:60" ht="30" hidden="1" customHeight="1">
      <c r="A155" s="115" t="s">
        <v>122</v>
      </c>
      <c r="B155" s="116" t="s">
        <v>941</v>
      </c>
      <c r="C155" s="116" t="s">
        <v>942</v>
      </c>
      <c r="D155" s="119" t="s">
        <v>943</v>
      </c>
      <c r="E155" s="117" t="s">
        <v>126</v>
      </c>
      <c r="F155" s="117" t="s">
        <v>127</v>
      </c>
      <c r="G155" s="116" t="s">
        <v>944</v>
      </c>
      <c r="H155" s="119"/>
      <c r="I155" s="118"/>
      <c r="J155" s="41" t="s">
        <v>110</v>
      </c>
      <c r="K155" s="5">
        <v>1</v>
      </c>
      <c r="L155" s="41" t="s">
        <v>110</v>
      </c>
      <c r="M155" s="41">
        <v>1</v>
      </c>
      <c r="N155" s="39" t="s">
        <v>115</v>
      </c>
      <c r="O155" s="39">
        <v>1</v>
      </c>
      <c r="P155" s="5" t="s">
        <v>111</v>
      </c>
      <c r="Q155" s="41"/>
      <c r="R155" s="41" t="s">
        <v>799</v>
      </c>
      <c r="S155" s="5">
        <v>4</v>
      </c>
      <c r="T155" s="41" t="s">
        <v>285</v>
      </c>
      <c r="U155" s="41"/>
      <c r="V155" s="41"/>
      <c r="W155" s="174">
        <v>45992</v>
      </c>
      <c r="X155" s="174">
        <v>45992</v>
      </c>
      <c r="Y155" s="41"/>
      <c r="Z155" s="3" t="s">
        <v>116</v>
      </c>
      <c r="AA155" s="3" t="s">
        <v>945</v>
      </c>
      <c r="AB155" s="3" t="s">
        <v>118</v>
      </c>
      <c r="AC155" s="3" t="s">
        <v>132</v>
      </c>
      <c r="AD155" s="3"/>
      <c r="AE155" s="3"/>
      <c r="AF155" s="12">
        <f t="shared" si="2"/>
        <v>86</v>
      </c>
      <c r="AG155" s="7">
        <v>80</v>
      </c>
      <c r="AH155" s="7"/>
      <c r="AI155" s="7">
        <v>100</v>
      </c>
      <c r="AJ155" s="7" t="s">
        <v>946</v>
      </c>
      <c r="AK155" s="7">
        <v>80</v>
      </c>
      <c r="AL155" s="7" t="s">
        <v>947</v>
      </c>
      <c r="AM155" s="7">
        <v>80</v>
      </c>
      <c r="AN155" s="7"/>
      <c r="AO155" s="63">
        <v>5.8</v>
      </c>
      <c r="AP155" s="58">
        <v>1600</v>
      </c>
      <c r="AQ155" s="58">
        <v>310</v>
      </c>
      <c r="AR155" s="58">
        <v>310</v>
      </c>
      <c r="AS155" s="30">
        <v>12586</v>
      </c>
      <c r="AT155" s="30">
        <v>9280</v>
      </c>
      <c r="AU155" s="30">
        <v>21866</v>
      </c>
      <c r="AV155" s="197">
        <v>12586</v>
      </c>
      <c r="AW155" s="197">
        <v>9280</v>
      </c>
      <c r="AX155" s="197">
        <v>21866</v>
      </c>
      <c r="AY155" s="202"/>
      <c r="AZ155" s="202"/>
      <c r="BA155" s="202">
        <v>0</v>
      </c>
      <c r="BB155" s="189" t="s">
        <v>948</v>
      </c>
      <c r="BC155" s="189"/>
      <c r="BD155" s="189">
        <v>3</v>
      </c>
      <c r="BE155" s="30"/>
      <c r="BF155" s="186"/>
      <c r="BG155" s="183"/>
      <c r="BH155" s="183"/>
    </row>
    <row r="156" spans="1:60" ht="30" hidden="1" customHeight="1">
      <c r="A156" s="41" t="s">
        <v>122</v>
      </c>
      <c r="B156" s="116" t="s">
        <v>904</v>
      </c>
      <c r="C156" s="116" t="s">
        <v>340</v>
      </c>
      <c r="D156" s="116"/>
      <c r="E156" s="117" t="s">
        <v>339</v>
      </c>
      <c r="F156" s="117" t="s">
        <v>340</v>
      </c>
      <c r="G156" s="119" t="s">
        <v>949</v>
      </c>
      <c r="H156" s="119"/>
      <c r="I156" s="118"/>
      <c r="J156" s="41" t="s">
        <v>110</v>
      </c>
      <c r="K156" s="41">
        <v>2</v>
      </c>
      <c r="L156" s="41" t="s">
        <v>110</v>
      </c>
      <c r="M156" s="41">
        <v>1</v>
      </c>
      <c r="N156" s="39"/>
      <c r="O156" s="39"/>
      <c r="P156" s="5" t="s">
        <v>111</v>
      </c>
      <c r="Q156" s="41"/>
      <c r="R156" s="41" t="s">
        <v>112</v>
      </c>
      <c r="S156" s="41">
        <v>5</v>
      </c>
      <c r="T156" s="41" t="s">
        <v>285</v>
      </c>
      <c r="U156" s="41"/>
      <c r="V156" s="41"/>
      <c r="W156" s="174">
        <v>45992</v>
      </c>
      <c r="X156" s="174">
        <v>45992</v>
      </c>
      <c r="Y156" s="41"/>
      <c r="Z156" s="42" t="s">
        <v>220</v>
      </c>
      <c r="AA156" s="37" t="s">
        <v>950</v>
      </c>
      <c r="AB156" s="42" t="s">
        <v>118</v>
      </c>
      <c r="AC156" s="42" t="s">
        <v>951</v>
      </c>
      <c r="AD156" s="42"/>
      <c r="AE156" s="42"/>
      <c r="AF156" s="12">
        <f t="shared" si="2"/>
        <v>90</v>
      </c>
      <c r="AG156" s="7">
        <v>80</v>
      </c>
      <c r="AH156" s="7"/>
      <c r="AI156" s="7">
        <v>100</v>
      </c>
      <c r="AJ156" s="7" t="s">
        <v>910</v>
      </c>
      <c r="AK156" s="7">
        <v>100</v>
      </c>
      <c r="AL156" s="7" t="s">
        <v>952</v>
      </c>
      <c r="AM156" s="7">
        <v>80</v>
      </c>
      <c r="AN156" s="7"/>
      <c r="AO156" s="63">
        <v>5.8</v>
      </c>
      <c r="AP156" s="58">
        <v>1600</v>
      </c>
      <c r="AQ156" s="58">
        <f>AVERAGE(330,310)</f>
        <v>320</v>
      </c>
      <c r="AR156" s="58">
        <v>330</v>
      </c>
      <c r="AS156" s="30">
        <v>29696</v>
      </c>
      <c r="AT156" s="30">
        <v>18560</v>
      </c>
      <c r="AU156" s="30">
        <v>48256</v>
      </c>
      <c r="AV156" s="197">
        <v>15312</v>
      </c>
      <c r="AW156" s="197">
        <v>9280</v>
      </c>
      <c r="AX156" s="197">
        <v>24592</v>
      </c>
      <c r="AY156" s="203"/>
      <c r="AZ156" s="203"/>
      <c r="BA156" s="203">
        <v>0</v>
      </c>
      <c r="BB156" s="41" t="s">
        <v>953</v>
      </c>
      <c r="BC156" s="191"/>
      <c r="BD156" s="189">
        <v>3</v>
      </c>
      <c r="BE156" s="30"/>
      <c r="BF156" s="186"/>
      <c r="BG156" s="183"/>
      <c r="BH156" s="183"/>
    </row>
    <row r="157" spans="1:60" ht="30" hidden="1" customHeight="1">
      <c r="A157" s="41" t="s">
        <v>122</v>
      </c>
      <c r="B157" s="116" t="s">
        <v>917</v>
      </c>
      <c r="C157" s="116" t="s">
        <v>340</v>
      </c>
      <c r="D157" s="116"/>
      <c r="E157" s="117" t="s">
        <v>339</v>
      </c>
      <c r="F157" s="117" t="s">
        <v>340</v>
      </c>
      <c r="G157" s="119"/>
      <c r="H157" s="119"/>
      <c r="I157" s="118"/>
      <c r="J157" s="41" t="s">
        <v>110</v>
      </c>
      <c r="K157" s="118">
        <v>1</v>
      </c>
      <c r="L157" s="41" t="s">
        <v>110</v>
      </c>
      <c r="M157" s="118">
        <v>1</v>
      </c>
      <c r="N157" s="208" t="s">
        <v>115</v>
      </c>
      <c r="O157" s="208">
        <v>2</v>
      </c>
      <c r="P157" s="5" t="s">
        <v>111</v>
      </c>
      <c r="Q157" s="118"/>
      <c r="R157" s="41" t="s">
        <v>112</v>
      </c>
      <c r="S157" s="41">
        <v>5</v>
      </c>
      <c r="T157" s="41" t="s">
        <v>285</v>
      </c>
      <c r="U157" s="41"/>
      <c r="V157" s="41"/>
      <c r="W157" s="174">
        <v>45992</v>
      </c>
      <c r="X157" s="174">
        <v>45992</v>
      </c>
      <c r="Y157" s="41"/>
      <c r="Z157" s="42" t="s">
        <v>220</v>
      </c>
      <c r="AA157" s="42" t="s">
        <v>919</v>
      </c>
      <c r="AB157" s="42" t="s">
        <v>118</v>
      </c>
      <c r="AC157" s="42" t="s">
        <v>951</v>
      </c>
      <c r="AD157" s="42"/>
      <c r="AE157" s="42"/>
      <c r="AF157" s="12">
        <f t="shared" si="2"/>
        <v>90</v>
      </c>
      <c r="AG157" s="7">
        <v>80</v>
      </c>
      <c r="AH157" s="7"/>
      <c r="AI157" s="7">
        <v>100</v>
      </c>
      <c r="AJ157" s="7" t="s">
        <v>910</v>
      </c>
      <c r="AK157" s="7">
        <v>100</v>
      </c>
      <c r="AL157" s="7" t="s">
        <v>952</v>
      </c>
      <c r="AM157" s="7">
        <v>80</v>
      </c>
      <c r="AN157" s="7"/>
      <c r="AO157" s="63">
        <v>5.8</v>
      </c>
      <c r="AP157" s="58">
        <v>1600</v>
      </c>
      <c r="AQ157" s="58">
        <v>330</v>
      </c>
      <c r="AR157" s="58">
        <v>330</v>
      </c>
      <c r="AS157" s="30">
        <v>15312</v>
      </c>
      <c r="AT157" s="30">
        <v>9280</v>
      </c>
      <c r="AU157" s="30">
        <v>24592</v>
      </c>
      <c r="AV157" s="197">
        <v>15312</v>
      </c>
      <c r="AW157" s="197">
        <v>9280</v>
      </c>
      <c r="AX157" s="197">
        <v>24592</v>
      </c>
      <c r="AY157" s="203"/>
      <c r="AZ157" s="203"/>
      <c r="BA157" s="203">
        <v>0</v>
      </c>
      <c r="BB157" s="41" t="s">
        <v>954</v>
      </c>
      <c r="BC157" s="191"/>
      <c r="BD157" s="189">
        <v>3</v>
      </c>
      <c r="BE157" s="30"/>
      <c r="BF157" s="186"/>
      <c r="BG157" s="183"/>
      <c r="BH157" s="183"/>
    </row>
    <row r="158" spans="1:60" ht="30" hidden="1" customHeight="1">
      <c r="A158" s="41" t="s">
        <v>122</v>
      </c>
      <c r="B158" s="116" t="s">
        <v>955</v>
      </c>
      <c r="C158" s="116" t="s">
        <v>956</v>
      </c>
      <c r="D158" s="116" t="s">
        <v>691</v>
      </c>
      <c r="E158" s="117" t="s">
        <v>216</v>
      </c>
      <c r="F158" s="118" t="s">
        <v>217</v>
      </c>
      <c r="G158" s="116" t="s">
        <v>957</v>
      </c>
      <c r="H158" s="119" t="s">
        <v>591</v>
      </c>
      <c r="I158" s="118" t="s">
        <v>129</v>
      </c>
      <c r="J158" s="41" t="s">
        <v>110</v>
      </c>
      <c r="K158" s="41">
        <v>1</v>
      </c>
      <c r="L158" s="41" t="s">
        <v>110</v>
      </c>
      <c r="M158" s="41">
        <v>1</v>
      </c>
      <c r="N158" s="39" t="s">
        <v>115</v>
      </c>
      <c r="O158" s="39">
        <v>1</v>
      </c>
      <c r="P158" s="5" t="s">
        <v>111</v>
      </c>
      <c r="Q158" s="41">
        <v>1</v>
      </c>
      <c r="R158" s="41" t="s">
        <v>112</v>
      </c>
      <c r="S158" s="41">
        <v>5</v>
      </c>
      <c r="T158" s="41" t="s">
        <v>958</v>
      </c>
      <c r="U158" s="41" t="s">
        <v>959</v>
      </c>
      <c r="V158" s="41"/>
      <c r="W158" s="174">
        <v>45766</v>
      </c>
      <c r="X158" s="174">
        <v>45774</v>
      </c>
      <c r="Y158" s="41"/>
      <c r="Z158" s="42" t="s">
        <v>220</v>
      </c>
      <c r="AA158" s="42" t="s">
        <v>960</v>
      </c>
      <c r="AB158" s="42" t="s">
        <v>118</v>
      </c>
      <c r="AC158" s="42" t="s">
        <v>961</v>
      </c>
      <c r="AD158" s="42"/>
      <c r="AE158" s="42"/>
      <c r="AF158" s="12">
        <f t="shared" si="2"/>
        <v>84</v>
      </c>
      <c r="AG158" s="7">
        <v>80</v>
      </c>
      <c r="AH158" s="7" t="s">
        <v>962</v>
      </c>
      <c r="AI158" s="7">
        <v>80</v>
      </c>
      <c r="AJ158" s="7" t="s">
        <v>963</v>
      </c>
      <c r="AK158" s="7">
        <v>100</v>
      </c>
      <c r="AL158" s="7" t="s">
        <v>964</v>
      </c>
      <c r="AM158" s="7">
        <v>80</v>
      </c>
      <c r="AN158" s="7" t="s">
        <v>965</v>
      </c>
      <c r="AO158" s="63">
        <v>5.8</v>
      </c>
      <c r="AP158" s="58">
        <v>1600</v>
      </c>
      <c r="AQ158" s="58">
        <v>370</v>
      </c>
      <c r="AR158" s="58">
        <v>370</v>
      </c>
      <c r="AS158" s="30">
        <v>17168</v>
      </c>
      <c r="AT158" s="30">
        <v>9280</v>
      </c>
      <c r="AU158" s="30">
        <v>26448</v>
      </c>
      <c r="AV158" s="197">
        <v>17168</v>
      </c>
      <c r="AW158" s="197">
        <v>9280</v>
      </c>
      <c r="AX158" s="197">
        <v>26448</v>
      </c>
      <c r="AY158" s="203">
        <v>12131.74</v>
      </c>
      <c r="AZ158" s="203">
        <v>12526.78</v>
      </c>
      <c r="BA158" s="203">
        <f>12131.74+12526.78</f>
        <v>24658.52</v>
      </c>
      <c r="BB158" s="41" t="s">
        <v>966</v>
      </c>
      <c r="BC158" s="191" t="s">
        <v>967</v>
      </c>
      <c r="BD158" s="189">
        <v>3</v>
      </c>
      <c r="BE158" s="30" t="s">
        <v>968</v>
      </c>
      <c r="BF158" s="186" t="s">
        <v>969</v>
      </c>
      <c r="BG158" s="183"/>
      <c r="BH158" s="183"/>
    </row>
    <row r="159" spans="1:60" ht="30" hidden="1" customHeight="1">
      <c r="A159" s="41" t="s">
        <v>122</v>
      </c>
      <c r="B159" s="116" t="s">
        <v>970</v>
      </c>
      <c r="C159" s="116" t="s">
        <v>971</v>
      </c>
      <c r="D159" s="116"/>
      <c r="E159" s="117" t="s">
        <v>216</v>
      </c>
      <c r="F159" s="118" t="s">
        <v>217</v>
      </c>
      <c r="G159" s="116" t="s">
        <v>972</v>
      </c>
      <c r="H159" s="119" t="s">
        <v>591</v>
      </c>
      <c r="I159" s="118"/>
      <c r="J159" s="41" t="s">
        <v>110</v>
      </c>
      <c r="K159" s="41">
        <v>1</v>
      </c>
      <c r="L159" s="41" t="s">
        <v>110</v>
      </c>
      <c r="M159" s="41">
        <v>1</v>
      </c>
      <c r="N159" s="39"/>
      <c r="O159" s="39"/>
      <c r="P159" s="5" t="s">
        <v>111</v>
      </c>
      <c r="Q159" s="41"/>
      <c r="R159" s="41" t="s">
        <v>112</v>
      </c>
      <c r="S159" s="41">
        <v>5</v>
      </c>
      <c r="T159" s="41" t="s">
        <v>218</v>
      </c>
      <c r="U159" s="41"/>
      <c r="V159" s="41"/>
      <c r="W159" s="174">
        <v>45992</v>
      </c>
      <c r="X159" s="174">
        <v>45992</v>
      </c>
      <c r="Y159" s="41"/>
      <c r="Z159" s="42" t="s">
        <v>116</v>
      </c>
      <c r="AA159" s="42" t="s">
        <v>973</v>
      </c>
      <c r="AB159" s="42" t="s">
        <v>118</v>
      </c>
      <c r="AC159" s="42" t="s">
        <v>974</v>
      </c>
      <c r="AD159" s="51"/>
      <c r="AE159" s="51"/>
      <c r="AF159" s="12">
        <f t="shared" si="2"/>
        <v>84</v>
      </c>
      <c r="AG159" s="7">
        <v>80</v>
      </c>
      <c r="AH159" s="7" t="s">
        <v>962</v>
      </c>
      <c r="AI159" s="7">
        <v>80</v>
      </c>
      <c r="AJ159" s="7" t="s">
        <v>963</v>
      </c>
      <c r="AK159" s="7">
        <v>100</v>
      </c>
      <c r="AL159" s="7" t="s">
        <v>964</v>
      </c>
      <c r="AM159" s="7">
        <v>80</v>
      </c>
      <c r="AN159" s="7" t="s">
        <v>965</v>
      </c>
      <c r="AO159" s="63">
        <v>5.8</v>
      </c>
      <c r="AP159" s="58">
        <v>1600</v>
      </c>
      <c r="AQ159" s="58">
        <v>310</v>
      </c>
      <c r="AR159" s="58">
        <v>310</v>
      </c>
      <c r="AS159" s="30">
        <v>14384</v>
      </c>
      <c r="AT159" s="30">
        <v>9280</v>
      </c>
      <c r="AU159" s="30">
        <v>23664</v>
      </c>
      <c r="AV159" s="197">
        <v>14384</v>
      </c>
      <c r="AW159" s="197">
        <v>9280</v>
      </c>
      <c r="AX159" s="197">
        <v>23664</v>
      </c>
      <c r="AY159" s="203"/>
      <c r="AZ159" s="203"/>
      <c r="BA159" s="203">
        <v>0</v>
      </c>
      <c r="BB159" s="41" t="s">
        <v>975</v>
      </c>
      <c r="BC159" s="191"/>
      <c r="BD159" s="189">
        <v>3</v>
      </c>
      <c r="BE159" s="30" t="s">
        <v>968</v>
      </c>
      <c r="BF159" s="186" t="s">
        <v>969</v>
      </c>
      <c r="BG159" s="183"/>
      <c r="BH159" s="183"/>
    </row>
    <row r="160" spans="1:60" ht="30" hidden="1" customHeight="1">
      <c r="A160" s="41" t="s">
        <v>122</v>
      </c>
      <c r="B160" s="116" t="s">
        <v>970</v>
      </c>
      <c r="C160" s="116" t="s">
        <v>976</v>
      </c>
      <c r="D160" s="116"/>
      <c r="E160" s="117" t="s">
        <v>216</v>
      </c>
      <c r="F160" s="118" t="s">
        <v>217</v>
      </c>
      <c r="G160" s="116" t="s">
        <v>977</v>
      </c>
      <c r="H160" s="119" t="s">
        <v>591</v>
      </c>
      <c r="I160" s="118"/>
      <c r="J160" s="41" t="s">
        <v>110</v>
      </c>
      <c r="K160" s="41">
        <v>1</v>
      </c>
      <c r="L160" s="41" t="s">
        <v>110</v>
      </c>
      <c r="M160" s="41">
        <v>1</v>
      </c>
      <c r="N160" s="39"/>
      <c r="O160" s="39"/>
      <c r="P160" s="5" t="s">
        <v>111</v>
      </c>
      <c r="Q160" s="41"/>
      <c r="R160" s="5" t="s">
        <v>112</v>
      </c>
      <c r="S160" s="41">
        <v>5</v>
      </c>
      <c r="T160" s="41" t="s">
        <v>139</v>
      </c>
      <c r="U160" s="41"/>
      <c r="V160" s="41"/>
      <c r="W160" s="174">
        <v>45992</v>
      </c>
      <c r="X160" s="174">
        <v>45992</v>
      </c>
      <c r="Y160" s="41"/>
      <c r="Z160" s="42" t="s">
        <v>116</v>
      </c>
      <c r="AA160" s="42" t="s">
        <v>973</v>
      </c>
      <c r="AB160" s="42" t="s">
        <v>118</v>
      </c>
      <c r="AC160" s="42" t="s">
        <v>974</v>
      </c>
      <c r="AD160" s="42"/>
      <c r="AE160" s="42"/>
      <c r="AF160" s="12">
        <f t="shared" si="2"/>
        <v>84</v>
      </c>
      <c r="AG160" s="7">
        <v>80</v>
      </c>
      <c r="AH160" s="7" t="s">
        <v>962</v>
      </c>
      <c r="AI160" s="7">
        <v>80</v>
      </c>
      <c r="AJ160" s="7" t="s">
        <v>963</v>
      </c>
      <c r="AK160" s="7">
        <v>100</v>
      </c>
      <c r="AL160" s="7" t="s">
        <v>964</v>
      </c>
      <c r="AM160" s="7">
        <v>80</v>
      </c>
      <c r="AN160" s="7" t="s">
        <v>965</v>
      </c>
      <c r="AO160" s="63">
        <v>5.8</v>
      </c>
      <c r="AP160" s="58">
        <v>1600</v>
      </c>
      <c r="AQ160" s="58">
        <v>370</v>
      </c>
      <c r="AR160" s="58">
        <v>370</v>
      </c>
      <c r="AS160" s="30">
        <v>17168</v>
      </c>
      <c r="AT160" s="30">
        <v>9280</v>
      </c>
      <c r="AU160" s="30">
        <v>26448</v>
      </c>
      <c r="AV160" s="197">
        <v>17168</v>
      </c>
      <c r="AW160" s="197">
        <v>9280</v>
      </c>
      <c r="AX160" s="197">
        <v>26448</v>
      </c>
      <c r="AY160" s="203"/>
      <c r="AZ160" s="203"/>
      <c r="BA160" s="203">
        <v>0</v>
      </c>
      <c r="BB160" s="41" t="s">
        <v>975</v>
      </c>
      <c r="BC160" s="191"/>
      <c r="BD160" s="189">
        <v>3</v>
      </c>
      <c r="BE160" s="30" t="s">
        <v>968</v>
      </c>
      <c r="BF160" s="186" t="s">
        <v>969</v>
      </c>
      <c r="BG160" s="183"/>
      <c r="BH160" s="183"/>
    </row>
    <row r="161" spans="1:60" ht="30" hidden="1" customHeight="1">
      <c r="A161" s="41" t="s">
        <v>122</v>
      </c>
      <c r="B161" s="116" t="s">
        <v>978</v>
      </c>
      <c r="C161" s="116" t="s">
        <v>122</v>
      </c>
      <c r="D161" s="116"/>
      <c r="E161" s="117" t="s">
        <v>216</v>
      </c>
      <c r="F161" s="118" t="s">
        <v>217</v>
      </c>
      <c r="G161" s="116" t="s">
        <v>979</v>
      </c>
      <c r="H161" s="119" t="s">
        <v>591</v>
      </c>
      <c r="I161" s="118"/>
      <c r="J161" s="41" t="s">
        <v>110</v>
      </c>
      <c r="K161" s="41">
        <v>1</v>
      </c>
      <c r="L161" s="41" t="s">
        <v>110</v>
      </c>
      <c r="M161" s="41">
        <v>1</v>
      </c>
      <c r="N161" s="39"/>
      <c r="O161" s="39"/>
      <c r="P161" s="5" t="s">
        <v>111</v>
      </c>
      <c r="Q161" s="41"/>
      <c r="R161" s="5" t="s">
        <v>112</v>
      </c>
      <c r="S161" s="41">
        <v>5</v>
      </c>
      <c r="T161" s="41" t="s">
        <v>139</v>
      </c>
      <c r="U161" s="41"/>
      <c r="V161" s="41"/>
      <c r="W161" s="174">
        <v>45992</v>
      </c>
      <c r="X161" s="174">
        <v>45992</v>
      </c>
      <c r="Y161" s="41"/>
      <c r="Z161" s="42" t="s">
        <v>116</v>
      </c>
      <c r="AA161" s="42" t="s">
        <v>980</v>
      </c>
      <c r="AB161" s="42" t="s">
        <v>118</v>
      </c>
      <c r="AC161" s="42" t="s">
        <v>961</v>
      </c>
      <c r="AD161" s="42"/>
      <c r="AE161" s="42"/>
      <c r="AF161" s="12">
        <f t="shared" si="2"/>
        <v>84</v>
      </c>
      <c r="AG161" s="7">
        <v>80</v>
      </c>
      <c r="AH161" s="7" t="s">
        <v>962</v>
      </c>
      <c r="AI161" s="7">
        <v>80</v>
      </c>
      <c r="AJ161" s="7" t="s">
        <v>963</v>
      </c>
      <c r="AK161" s="7">
        <v>100</v>
      </c>
      <c r="AL161" s="7" t="s">
        <v>964</v>
      </c>
      <c r="AM161" s="7">
        <v>80</v>
      </c>
      <c r="AN161" s="7" t="s">
        <v>965</v>
      </c>
      <c r="AO161" s="63">
        <v>5.8</v>
      </c>
      <c r="AP161" s="58">
        <v>1600</v>
      </c>
      <c r="AQ161" s="58">
        <v>370</v>
      </c>
      <c r="AR161" s="58">
        <v>370</v>
      </c>
      <c r="AS161" s="30">
        <v>17168</v>
      </c>
      <c r="AT161" s="30">
        <v>9280</v>
      </c>
      <c r="AU161" s="30">
        <v>26448</v>
      </c>
      <c r="AV161" s="197">
        <v>17168</v>
      </c>
      <c r="AW161" s="197">
        <v>9280</v>
      </c>
      <c r="AX161" s="197">
        <v>26448</v>
      </c>
      <c r="AY161" s="203"/>
      <c r="AZ161" s="203"/>
      <c r="BA161" s="203">
        <v>0</v>
      </c>
      <c r="BB161" s="41" t="s">
        <v>975</v>
      </c>
      <c r="BC161" s="191"/>
      <c r="BD161" s="189">
        <v>3</v>
      </c>
      <c r="BE161" s="30" t="s">
        <v>968</v>
      </c>
      <c r="BF161" s="186" t="s">
        <v>969</v>
      </c>
      <c r="BG161" s="183"/>
      <c r="BH161" s="183"/>
    </row>
    <row r="162" spans="1:60" ht="30" hidden="1" customHeight="1">
      <c r="A162" s="41" t="s">
        <v>122</v>
      </c>
      <c r="B162" s="116" t="s">
        <v>981</v>
      </c>
      <c r="C162" s="116" t="s">
        <v>982</v>
      </c>
      <c r="D162" s="116"/>
      <c r="E162" s="117" t="s">
        <v>216</v>
      </c>
      <c r="F162" s="118" t="s">
        <v>217</v>
      </c>
      <c r="G162" s="116" t="s">
        <v>957</v>
      </c>
      <c r="H162" s="119" t="s">
        <v>591</v>
      </c>
      <c r="I162" s="118"/>
      <c r="J162" s="41" t="s">
        <v>110</v>
      </c>
      <c r="K162" s="41">
        <v>1</v>
      </c>
      <c r="L162" s="41" t="s">
        <v>110</v>
      </c>
      <c r="M162" s="41">
        <v>1</v>
      </c>
      <c r="N162" s="39" t="s">
        <v>115</v>
      </c>
      <c r="O162" s="39">
        <v>1</v>
      </c>
      <c r="P162" s="5" t="s">
        <v>111</v>
      </c>
      <c r="Q162" s="41"/>
      <c r="R162" s="41" t="s">
        <v>112</v>
      </c>
      <c r="S162" s="41">
        <v>12</v>
      </c>
      <c r="T162" s="5" t="s">
        <v>218</v>
      </c>
      <c r="U162" s="41"/>
      <c r="V162" s="41"/>
      <c r="W162" s="174">
        <v>45992</v>
      </c>
      <c r="X162" s="174">
        <v>45992</v>
      </c>
      <c r="Y162" s="41"/>
      <c r="Z162" s="42" t="s">
        <v>220</v>
      </c>
      <c r="AA162" s="42" t="s">
        <v>960</v>
      </c>
      <c r="AB162" s="42" t="s">
        <v>118</v>
      </c>
      <c r="AC162" s="42" t="s">
        <v>983</v>
      </c>
      <c r="AD162" s="42"/>
      <c r="AE162" s="42"/>
      <c r="AF162" s="12">
        <f t="shared" si="2"/>
        <v>84</v>
      </c>
      <c r="AG162" s="7">
        <v>80</v>
      </c>
      <c r="AH162" s="7" t="s">
        <v>962</v>
      </c>
      <c r="AI162" s="7">
        <v>80</v>
      </c>
      <c r="AJ162" s="7" t="s">
        <v>963</v>
      </c>
      <c r="AK162" s="7">
        <v>100</v>
      </c>
      <c r="AL162" s="7" t="s">
        <v>964</v>
      </c>
      <c r="AM162" s="7">
        <v>80</v>
      </c>
      <c r="AN162" s="7" t="s">
        <v>965</v>
      </c>
      <c r="AO162" s="63">
        <v>5.8</v>
      </c>
      <c r="AP162" s="58">
        <v>1600</v>
      </c>
      <c r="AQ162" s="58">
        <v>310</v>
      </c>
      <c r="AR162" s="58">
        <v>310</v>
      </c>
      <c r="AS162" s="30">
        <v>26970</v>
      </c>
      <c r="AT162" s="30">
        <v>9280</v>
      </c>
      <c r="AU162" s="30">
        <v>36250</v>
      </c>
      <c r="AV162" s="197">
        <v>26970</v>
      </c>
      <c r="AW162" s="197">
        <v>9280</v>
      </c>
      <c r="AX162" s="197">
        <v>36250</v>
      </c>
      <c r="AY162" s="203"/>
      <c r="AZ162" s="203"/>
      <c r="BA162" s="203">
        <v>0</v>
      </c>
      <c r="BB162" s="41" t="s">
        <v>966</v>
      </c>
      <c r="BC162" s="191"/>
      <c r="BD162" s="189">
        <v>3</v>
      </c>
      <c r="BE162" s="30" t="s">
        <v>968</v>
      </c>
      <c r="BF162" s="186" t="s">
        <v>969</v>
      </c>
      <c r="BG162" s="183"/>
      <c r="BH162" s="183"/>
    </row>
    <row r="163" spans="1:60" ht="30" hidden="1" customHeight="1">
      <c r="A163" s="41" t="s">
        <v>122</v>
      </c>
      <c r="B163" s="120" t="s">
        <v>984</v>
      </c>
      <c r="C163" s="116" t="s">
        <v>278</v>
      </c>
      <c r="D163" s="151" t="s">
        <v>985</v>
      </c>
      <c r="E163" s="117" t="s">
        <v>339</v>
      </c>
      <c r="F163" s="118" t="s">
        <v>340</v>
      </c>
      <c r="G163" s="116" t="s">
        <v>913</v>
      </c>
      <c r="H163" s="121"/>
      <c r="I163" s="41"/>
      <c r="J163" s="41" t="s">
        <v>110</v>
      </c>
      <c r="K163" s="41">
        <v>2</v>
      </c>
      <c r="L163" s="41" t="s">
        <v>110</v>
      </c>
      <c r="M163" s="41">
        <v>1</v>
      </c>
      <c r="N163" s="39" t="s">
        <v>115</v>
      </c>
      <c r="O163" s="39">
        <v>1</v>
      </c>
      <c r="P163" s="5" t="s">
        <v>111</v>
      </c>
      <c r="Q163" s="41"/>
      <c r="R163" s="41" t="s">
        <v>112</v>
      </c>
      <c r="S163" s="41">
        <v>4</v>
      </c>
      <c r="T163" s="41" t="s">
        <v>801</v>
      </c>
      <c r="U163" s="41"/>
      <c r="V163" s="41"/>
      <c r="W163" s="174">
        <v>45992</v>
      </c>
      <c r="X163" s="174">
        <v>45992</v>
      </c>
      <c r="Y163" s="41"/>
      <c r="Z163" s="42" t="s">
        <v>141</v>
      </c>
      <c r="AA163" s="42" t="s">
        <v>986</v>
      </c>
      <c r="AB163" s="42" t="s">
        <v>118</v>
      </c>
      <c r="AC163" s="42" t="s">
        <v>346</v>
      </c>
      <c r="AD163" s="42"/>
      <c r="AE163" s="42"/>
      <c r="AF163" s="12">
        <f t="shared" si="2"/>
        <v>72</v>
      </c>
      <c r="AG163" s="7">
        <v>80</v>
      </c>
      <c r="AH163" s="7"/>
      <c r="AI163" s="7">
        <v>80</v>
      </c>
      <c r="AJ163" s="7" t="s">
        <v>915</v>
      </c>
      <c r="AK163" s="7">
        <v>40</v>
      </c>
      <c r="AL163" s="7"/>
      <c r="AM163" s="7">
        <v>80</v>
      </c>
      <c r="AN163" s="7"/>
      <c r="AO163" s="63">
        <v>5.8</v>
      </c>
      <c r="AP163" s="58">
        <v>1600</v>
      </c>
      <c r="AQ163" s="58">
        <v>420</v>
      </c>
      <c r="AR163" s="58">
        <v>420</v>
      </c>
      <c r="AS163" s="30">
        <v>34104</v>
      </c>
      <c r="AT163" s="30">
        <v>18560</v>
      </c>
      <c r="AU163" s="30">
        <v>52664</v>
      </c>
      <c r="AV163" s="197">
        <v>17052</v>
      </c>
      <c r="AW163" s="197">
        <v>9280</v>
      </c>
      <c r="AX163" s="197">
        <v>26332</v>
      </c>
      <c r="AY163" s="203"/>
      <c r="AZ163" s="203"/>
      <c r="BA163" s="203">
        <v>0</v>
      </c>
      <c r="BB163" s="41" t="s">
        <v>987</v>
      </c>
      <c r="BC163" s="191"/>
      <c r="BD163" s="189">
        <v>3</v>
      </c>
      <c r="BE163" s="30"/>
      <c r="BF163" s="186"/>
      <c r="BG163" s="183"/>
      <c r="BH163" s="183"/>
    </row>
    <row r="164" spans="1:60" ht="30" hidden="1" customHeight="1">
      <c r="A164" s="41" t="s">
        <v>248</v>
      </c>
      <c r="B164" s="116" t="s">
        <v>988</v>
      </c>
      <c r="C164" s="116" t="s">
        <v>989</v>
      </c>
      <c r="D164" s="116"/>
      <c r="E164" s="117" t="s">
        <v>339</v>
      </c>
      <c r="F164" s="118" t="s">
        <v>340</v>
      </c>
      <c r="G164" s="116" t="s">
        <v>990</v>
      </c>
      <c r="H164" s="173"/>
      <c r="I164" s="172"/>
      <c r="J164" s="41" t="s">
        <v>110</v>
      </c>
      <c r="K164" s="41">
        <v>2</v>
      </c>
      <c r="L164" s="41" t="s">
        <v>110</v>
      </c>
      <c r="M164" s="41">
        <v>1</v>
      </c>
      <c r="N164" s="39"/>
      <c r="O164" s="39"/>
      <c r="P164" s="5" t="s">
        <v>111</v>
      </c>
      <c r="Q164" s="41"/>
      <c r="R164" s="5" t="s">
        <v>112</v>
      </c>
      <c r="S164" s="41">
        <v>5</v>
      </c>
      <c r="T164" s="41" t="s">
        <v>295</v>
      </c>
      <c r="U164" s="41"/>
      <c r="V164" s="41" t="s">
        <v>115</v>
      </c>
      <c r="W164" s="174">
        <v>45992</v>
      </c>
      <c r="X164" s="174">
        <v>45992</v>
      </c>
      <c r="Y164" s="41"/>
      <c r="Z164" s="42" t="s">
        <v>141</v>
      </c>
      <c r="AA164" s="42" t="s">
        <v>991</v>
      </c>
      <c r="AB164" s="42" t="s">
        <v>345</v>
      </c>
      <c r="AC164" s="42" t="s">
        <v>346</v>
      </c>
      <c r="AD164" s="42"/>
      <c r="AE164" s="42"/>
      <c r="AF164" s="12">
        <f t="shared" si="2"/>
        <v>54</v>
      </c>
      <c r="AG164" s="7">
        <v>40</v>
      </c>
      <c r="AH164" s="7"/>
      <c r="AI164" s="7">
        <v>60</v>
      </c>
      <c r="AJ164" s="7" t="s">
        <v>992</v>
      </c>
      <c r="AK164" s="7">
        <v>60</v>
      </c>
      <c r="AL164" s="7" t="s">
        <v>993</v>
      </c>
      <c r="AM164" s="7">
        <v>80</v>
      </c>
      <c r="AN164" s="7" t="s">
        <v>994</v>
      </c>
      <c r="AO164" s="63">
        <v>5.8</v>
      </c>
      <c r="AP164" s="58">
        <v>800</v>
      </c>
      <c r="AQ164" s="58">
        <v>280</v>
      </c>
      <c r="AR164" s="58">
        <v>280</v>
      </c>
      <c r="AS164" s="30">
        <v>22736</v>
      </c>
      <c r="AT164" s="30">
        <v>9280</v>
      </c>
      <c r="AU164" s="30">
        <v>32016</v>
      </c>
      <c r="AV164" s="198">
        <v>11368</v>
      </c>
      <c r="AW164" s="197">
        <v>4640</v>
      </c>
      <c r="AX164" s="197">
        <v>16008</v>
      </c>
      <c r="AY164" s="203"/>
      <c r="AZ164" s="203"/>
      <c r="BA164" s="203">
        <v>0</v>
      </c>
      <c r="BB164" s="41" t="s">
        <v>995</v>
      </c>
      <c r="BC164" s="191"/>
      <c r="BD164" s="189">
        <v>2</v>
      </c>
      <c r="BE164" s="30"/>
      <c r="BF164" s="186"/>
      <c r="BG164" s="183"/>
      <c r="BH164" s="183"/>
    </row>
    <row r="165" spans="1:60" ht="30" hidden="1" customHeight="1">
      <c r="A165" s="41" t="s">
        <v>122</v>
      </c>
      <c r="B165" s="116" t="s">
        <v>996</v>
      </c>
      <c r="C165" s="116" t="s">
        <v>997</v>
      </c>
      <c r="D165" s="116"/>
      <c r="E165" s="117" t="s">
        <v>126</v>
      </c>
      <c r="F165" s="118" t="s">
        <v>127</v>
      </c>
      <c r="G165" s="116" t="s">
        <v>998</v>
      </c>
      <c r="H165" s="119" t="s">
        <v>999</v>
      </c>
      <c r="I165" s="118"/>
      <c r="J165" s="41" t="s">
        <v>110</v>
      </c>
      <c r="K165" s="41">
        <v>2</v>
      </c>
      <c r="L165" s="41" t="s">
        <v>110</v>
      </c>
      <c r="M165" s="41">
        <v>1</v>
      </c>
      <c r="N165" s="39" t="s">
        <v>115</v>
      </c>
      <c r="O165" s="39">
        <v>1</v>
      </c>
      <c r="P165" s="5" t="s">
        <v>111</v>
      </c>
      <c r="Q165" s="41"/>
      <c r="R165" s="5" t="s">
        <v>112</v>
      </c>
      <c r="S165" s="41">
        <v>5</v>
      </c>
      <c r="T165" s="5" t="s">
        <v>218</v>
      </c>
      <c r="U165" s="41"/>
      <c r="V165" s="41"/>
      <c r="W165" s="174">
        <v>45992</v>
      </c>
      <c r="X165" s="174">
        <v>45992</v>
      </c>
      <c r="Y165" s="41"/>
      <c r="Z165" s="42" t="s">
        <v>116</v>
      </c>
      <c r="AA165" s="42" t="s">
        <v>1000</v>
      </c>
      <c r="AB165" s="42" t="s">
        <v>118</v>
      </c>
      <c r="AC165" s="42" t="s">
        <v>132</v>
      </c>
      <c r="AD165" s="42"/>
      <c r="AE165" s="42"/>
      <c r="AF165" s="12">
        <f t="shared" si="2"/>
        <v>84</v>
      </c>
      <c r="AG165" s="7">
        <v>80</v>
      </c>
      <c r="AH165" s="7"/>
      <c r="AI165" s="7">
        <v>80</v>
      </c>
      <c r="AJ165" s="7" t="s">
        <v>1001</v>
      </c>
      <c r="AK165" s="7">
        <v>100</v>
      </c>
      <c r="AL165" s="7" t="s">
        <v>1002</v>
      </c>
      <c r="AM165" s="7">
        <v>80</v>
      </c>
      <c r="AN165" s="7"/>
      <c r="AO165" s="63">
        <v>5.8</v>
      </c>
      <c r="AP165" s="58">
        <v>1600</v>
      </c>
      <c r="AQ165" s="58">
        <v>320</v>
      </c>
      <c r="AR165" s="58">
        <v>320</v>
      </c>
      <c r="AS165" s="30">
        <v>29696</v>
      </c>
      <c r="AT165" s="30">
        <v>18560</v>
      </c>
      <c r="AU165" s="30">
        <v>48256</v>
      </c>
      <c r="AV165" s="197">
        <v>14848</v>
      </c>
      <c r="AW165" s="197">
        <v>9280</v>
      </c>
      <c r="AX165" s="197">
        <v>24128</v>
      </c>
      <c r="AY165" s="203"/>
      <c r="AZ165" s="203"/>
      <c r="BA165" s="203">
        <v>0</v>
      </c>
      <c r="BB165" s="41" t="s">
        <v>1003</v>
      </c>
      <c r="BC165" s="191"/>
      <c r="BD165" s="189">
        <v>3</v>
      </c>
      <c r="BE165" s="30"/>
      <c r="BF165" s="186"/>
      <c r="BG165" s="183"/>
      <c r="BH165" s="183"/>
    </row>
    <row r="166" spans="1:60" ht="30" hidden="1" customHeight="1">
      <c r="A166" s="41" t="s">
        <v>421</v>
      </c>
      <c r="B166" s="116" t="s">
        <v>1004</v>
      </c>
      <c r="C166" s="116" t="s">
        <v>1005</v>
      </c>
      <c r="D166" s="116"/>
      <c r="E166" s="117" t="s">
        <v>107</v>
      </c>
      <c r="F166" s="118" t="s">
        <v>108</v>
      </c>
      <c r="G166" s="116"/>
      <c r="H166" s="119"/>
      <c r="I166" s="118"/>
      <c r="J166" s="41" t="s">
        <v>110</v>
      </c>
      <c r="K166" s="41">
        <v>1</v>
      </c>
      <c r="L166" s="41" t="s">
        <v>110</v>
      </c>
      <c r="M166" s="41">
        <v>1</v>
      </c>
      <c r="N166" s="39" t="s">
        <v>115</v>
      </c>
      <c r="O166" s="39">
        <v>1</v>
      </c>
      <c r="P166" s="5" t="s">
        <v>111</v>
      </c>
      <c r="Q166" s="41"/>
      <c r="R166" s="5" t="s">
        <v>112</v>
      </c>
      <c r="S166" s="41">
        <v>5</v>
      </c>
      <c r="T166" s="41" t="s">
        <v>232</v>
      </c>
      <c r="U166" s="41"/>
      <c r="V166" s="41"/>
      <c r="W166" s="174">
        <v>45992</v>
      </c>
      <c r="X166" s="174">
        <v>45992</v>
      </c>
      <c r="Y166" s="41"/>
      <c r="Z166" s="42" t="s">
        <v>141</v>
      </c>
      <c r="AA166" s="37" t="s">
        <v>1006</v>
      </c>
      <c r="AB166" s="42" t="s">
        <v>118</v>
      </c>
      <c r="AC166" s="42" t="s">
        <v>427</v>
      </c>
      <c r="AD166" s="51"/>
      <c r="AE166" s="51"/>
      <c r="AF166" s="12">
        <f t="shared" si="2"/>
        <v>84</v>
      </c>
      <c r="AG166" s="7">
        <v>80</v>
      </c>
      <c r="AH166" s="7"/>
      <c r="AI166" s="7">
        <v>80</v>
      </c>
      <c r="AJ166" s="7" t="s">
        <v>1007</v>
      </c>
      <c r="AK166" s="7">
        <v>100</v>
      </c>
      <c r="AL166" s="7" t="s">
        <v>1008</v>
      </c>
      <c r="AM166" s="7">
        <v>80</v>
      </c>
      <c r="AN166" s="7" t="s">
        <v>146</v>
      </c>
      <c r="AO166" s="63">
        <v>5.8</v>
      </c>
      <c r="AP166" s="58">
        <v>1600</v>
      </c>
      <c r="AQ166" s="58">
        <v>370</v>
      </c>
      <c r="AR166" s="58">
        <v>370</v>
      </c>
      <c r="AS166" s="30">
        <v>17168</v>
      </c>
      <c r="AT166" s="30">
        <v>9280</v>
      </c>
      <c r="AU166" s="30">
        <v>26448</v>
      </c>
      <c r="AV166" s="197">
        <v>17168</v>
      </c>
      <c r="AW166" s="197">
        <v>9280</v>
      </c>
      <c r="AX166" s="197">
        <v>26448</v>
      </c>
      <c r="AY166" s="203"/>
      <c r="AZ166" s="203"/>
      <c r="BA166" s="203">
        <v>0</v>
      </c>
      <c r="BB166" s="41" t="s">
        <v>1009</v>
      </c>
      <c r="BC166" s="191"/>
      <c r="BD166" s="190">
        <v>3</v>
      </c>
      <c r="BE166" s="30"/>
      <c r="BF166" s="186"/>
      <c r="BG166" s="183"/>
      <c r="BH166" s="183"/>
    </row>
    <row r="167" spans="1:60" ht="30" hidden="1" customHeight="1">
      <c r="A167" s="41" t="s">
        <v>122</v>
      </c>
      <c r="B167" s="116" t="s">
        <v>1010</v>
      </c>
      <c r="C167" s="116" t="s">
        <v>1011</v>
      </c>
      <c r="D167" s="116"/>
      <c r="E167" s="117" t="s">
        <v>107</v>
      </c>
      <c r="F167" s="117" t="s">
        <v>340</v>
      </c>
      <c r="G167" s="116"/>
      <c r="H167" s="119"/>
      <c r="I167" s="118"/>
      <c r="J167" s="41" t="s">
        <v>110</v>
      </c>
      <c r="K167" s="41">
        <v>1</v>
      </c>
      <c r="L167" s="41" t="s">
        <v>110</v>
      </c>
      <c r="M167" s="41">
        <v>1</v>
      </c>
      <c r="N167" s="39"/>
      <c r="O167" s="39"/>
      <c r="P167" s="5" t="s">
        <v>111</v>
      </c>
      <c r="Q167" s="41"/>
      <c r="R167" s="5" t="s">
        <v>112</v>
      </c>
      <c r="S167" s="41">
        <v>5</v>
      </c>
      <c r="T167" s="41" t="s">
        <v>285</v>
      </c>
      <c r="U167" s="41"/>
      <c r="V167" s="41"/>
      <c r="W167" s="174">
        <v>45992</v>
      </c>
      <c r="X167" s="174">
        <v>45992</v>
      </c>
      <c r="Y167" s="41"/>
      <c r="Z167" s="42" t="s">
        <v>220</v>
      </c>
      <c r="AA167" s="37" t="s">
        <v>491</v>
      </c>
      <c r="AB167" s="42" t="s">
        <v>517</v>
      </c>
      <c r="AC167" s="42" t="s">
        <v>446</v>
      </c>
      <c r="AD167" s="51"/>
      <c r="AE167" s="51"/>
      <c r="AF167" s="12">
        <f t="shared" si="2"/>
        <v>84</v>
      </c>
      <c r="AG167" s="7">
        <v>80</v>
      </c>
      <c r="AH167" s="7"/>
      <c r="AI167" s="7">
        <v>80</v>
      </c>
      <c r="AJ167" s="7"/>
      <c r="AK167" s="7">
        <v>100</v>
      </c>
      <c r="AL167" s="7"/>
      <c r="AM167" s="7">
        <v>80</v>
      </c>
      <c r="AN167" s="7"/>
      <c r="AO167" s="63">
        <v>5.8</v>
      </c>
      <c r="AP167" s="58">
        <v>1600</v>
      </c>
      <c r="AQ167" s="58">
        <v>320</v>
      </c>
      <c r="AR167" s="58">
        <v>320</v>
      </c>
      <c r="AS167" s="30">
        <v>14848</v>
      </c>
      <c r="AT167" s="30">
        <v>9280</v>
      </c>
      <c r="AU167" s="30">
        <v>24128</v>
      </c>
      <c r="AV167" s="197">
        <v>14848</v>
      </c>
      <c r="AW167" s="197">
        <v>9280</v>
      </c>
      <c r="AX167" s="197">
        <v>24128</v>
      </c>
      <c r="AY167" s="203"/>
      <c r="AZ167" s="203"/>
      <c r="BA167" s="203">
        <v>0</v>
      </c>
      <c r="BB167" s="41" t="s">
        <v>492</v>
      </c>
      <c r="BC167" s="191"/>
      <c r="BD167" s="190">
        <v>3</v>
      </c>
      <c r="BE167" s="30"/>
      <c r="BF167" s="186"/>
      <c r="BG167" s="183"/>
      <c r="BH167" s="183"/>
    </row>
    <row r="168" spans="1:60" ht="30" hidden="1" customHeight="1">
      <c r="A168" s="41" t="s">
        <v>1012</v>
      </c>
      <c r="B168" s="116" t="s">
        <v>1013</v>
      </c>
      <c r="C168" s="116" t="s">
        <v>1014</v>
      </c>
      <c r="D168" s="116"/>
      <c r="E168" s="117" t="s">
        <v>107</v>
      </c>
      <c r="F168" s="117" t="s">
        <v>108</v>
      </c>
      <c r="G168" s="116" t="s">
        <v>186</v>
      </c>
      <c r="H168" s="119"/>
      <c r="I168" s="118"/>
      <c r="J168" s="41" t="s">
        <v>110</v>
      </c>
      <c r="K168" s="41">
        <v>2</v>
      </c>
      <c r="L168" s="41" t="s">
        <v>110</v>
      </c>
      <c r="M168" s="41">
        <v>1</v>
      </c>
      <c r="N168" s="39"/>
      <c r="O168" s="39"/>
      <c r="P168" s="5" t="s">
        <v>111</v>
      </c>
      <c r="Q168" s="41"/>
      <c r="R168" s="5" t="s">
        <v>112</v>
      </c>
      <c r="S168" s="41">
        <v>3</v>
      </c>
      <c r="T168" s="41" t="s">
        <v>139</v>
      </c>
      <c r="U168" s="41"/>
      <c r="V168" s="41"/>
      <c r="W168" s="174">
        <v>45992</v>
      </c>
      <c r="X168" s="174">
        <v>45992</v>
      </c>
      <c r="Y168" s="41"/>
      <c r="Z168" s="42" t="s">
        <v>141</v>
      </c>
      <c r="AA168" s="37" t="s">
        <v>1015</v>
      </c>
      <c r="AB168" s="42" t="s">
        <v>118</v>
      </c>
      <c r="AC168" s="42" t="s">
        <v>700</v>
      </c>
      <c r="AD168" s="51"/>
      <c r="AE168" s="51"/>
      <c r="AF168" s="12">
        <f t="shared" si="2"/>
        <v>84</v>
      </c>
      <c r="AG168" s="7">
        <v>80</v>
      </c>
      <c r="AH168" s="7"/>
      <c r="AI168" s="7">
        <v>80</v>
      </c>
      <c r="AJ168" s="7"/>
      <c r="AK168" s="7">
        <v>100</v>
      </c>
      <c r="AL168" s="7"/>
      <c r="AM168" s="7">
        <v>80</v>
      </c>
      <c r="AN168" s="7"/>
      <c r="AO168" s="63">
        <v>5.8</v>
      </c>
      <c r="AP168" s="58">
        <v>1600</v>
      </c>
      <c r="AQ168" s="58">
        <v>390</v>
      </c>
      <c r="AR168" s="58">
        <v>390</v>
      </c>
      <c r="AS168" s="30">
        <v>27144</v>
      </c>
      <c r="AT168" s="30">
        <v>18560</v>
      </c>
      <c r="AU168" s="30">
        <v>45704</v>
      </c>
      <c r="AV168" s="197">
        <v>13572</v>
      </c>
      <c r="AW168" s="197">
        <v>9280</v>
      </c>
      <c r="AX168" s="197">
        <v>22852</v>
      </c>
      <c r="AY168" s="203"/>
      <c r="AZ168" s="203"/>
      <c r="BA168" s="203">
        <v>0</v>
      </c>
      <c r="BB168" s="41" t="s">
        <v>1016</v>
      </c>
      <c r="BC168" s="191"/>
      <c r="BD168" s="190">
        <v>3</v>
      </c>
      <c r="BE168" s="30"/>
      <c r="BF168" s="186"/>
      <c r="BG168" s="183"/>
      <c r="BH168" s="183"/>
    </row>
    <row r="169" spans="1:60" ht="30" hidden="1" customHeight="1">
      <c r="A169" s="41" t="s">
        <v>1012</v>
      </c>
      <c r="B169" s="116" t="s">
        <v>1017</v>
      </c>
      <c r="C169" s="116" t="s">
        <v>1018</v>
      </c>
      <c r="D169" s="116"/>
      <c r="E169" s="117" t="s">
        <v>107</v>
      </c>
      <c r="F169" s="118" t="s">
        <v>108</v>
      </c>
      <c r="G169" s="116"/>
      <c r="H169" s="119"/>
      <c r="I169" s="118"/>
      <c r="J169" s="41" t="s">
        <v>110</v>
      </c>
      <c r="K169" s="41">
        <v>2</v>
      </c>
      <c r="L169" s="41" t="s">
        <v>110</v>
      </c>
      <c r="M169" s="41">
        <v>2</v>
      </c>
      <c r="N169" s="39"/>
      <c r="O169" s="39"/>
      <c r="P169" s="5" t="s">
        <v>111</v>
      </c>
      <c r="Q169" s="41"/>
      <c r="R169" s="5" t="s">
        <v>112</v>
      </c>
      <c r="S169" s="41">
        <v>3</v>
      </c>
      <c r="T169" s="41" t="s">
        <v>232</v>
      </c>
      <c r="U169" s="41"/>
      <c r="V169" s="41"/>
      <c r="W169" s="174">
        <v>45992</v>
      </c>
      <c r="X169" s="174">
        <v>45992</v>
      </c>
      <c r="Y169" s="41"/>
      <c r="Z169" s="42" t="s">
        <v>141</v>
      </c>
      <c r="AA169" s="42" t="s">
        <v>1015</v>
      </c>
      <c r="AB169" s="42" t="s">
        <v>118</v>
      </c>
      <c r="AC169" s="42" t="s">
        <v>700</v>
      </c>
      <c r="AD169" s="42"/>
      <c r="AE169" s="42"/>
      <c r="AF169" s="12">
        <f t="shared" si="2"/>
        <v>84</v>
      </c>
      <c r="AG169" s="7">
        <v>80</v>
      </c>
      <c r="AH169" s="7"/>
      <c r="AI169" s="7">
        <v>80</v>
      </c>
      <c r="AJ169" s="7"/>
      <c r="AK169" s="7">
        <v>100</v>
      </c>
      <c r="AL169" s="7"/>
      <c r="AM169" s="7">
        <v>80</v>
      </c>
      <c r="AN169" s="7"/>
      <c r="AO169" s="63">
        <v>5.8</v>
      </c>
      <c r="AP169" s="58">
        <v>1600</v>
      </c>
      <c r="AQ169" s="58">
        <v>420</v>
      </c>
      <c r="AR169" s="58">
        <v>420</v>
      </c>
      <c r="AS169" s="30">
        <v>29232</v>
      </c>
      <c r="AT169" s="30">
        <v>18560</v>
      </c>
      <c r="AU169" s="30">
        <v>47792</v>
      </c>
      <c r="AV169" s="197">
        <v>29232</v>
      </c>
      <c r="AW169" s="197">
        <v>18560</v>
      </c>
      <c r="AX169" s="197">
        <v>47792</v>
      </c>
      <c r="AY169" s="203"/>
      <c r="AZ169" s="203"/>
      <c r="BA169" s="203">
        <v>0</v>
      </c>
      <c r="BB169" s="41" t="s">
        <v>1016</v>
      </c>
      <c r="BC169" s="191"/>
      <c r="BD169" s="190">
        <v>3</v>
      </c>
      <c r="BE169" s="30" t="s">
        <v>1019</v>
      </c>
      <c r="BF169" s="186"/>
      <c r="BG169" s="183"/>
      <c r="BH169" s="183"/>
    </row>
    <row r="170" spans="1:60" ht="30" customHeight="1">
      <c r="A170" s="41" t="s">
        <v>336</v>
      </c>
      <c r="B170" s="116" t="s">
        <v>1020</v>
      </c>
      <c r="C170" s="116">
        <v>2025</v>
      </c>
      <c r="D170" s="116"/>
      <c r="E170" s="117" t="s">
        <v>195</v>
      </c>
      <c r="F170" s="117" t="s">
        <v>166</v>
      </c>
      <c r="G170" s="116" t="s">
        <v>1021</v>
      </c>
      <c r="H170" s="119"/>
      <c r="I170" s="118"/>
      <c r="J170" s="41" t="s">
        <v>110</v>
      </c>
      <c r="K170" s="41">
        <v>1</v>
      </c>
      <c r="L170" s="41" t="s">
        <v>110</v>
      </c>
      <c r="M170" s="41">
        <v>1</v>
      </c>
      <c r="N170" s="39"/>
      <c r="O170" s="39"/>
      <c r="P170" s="5" t="s">
        <v>111</v>
      </c>
      <c r="Q170" s="41"/>
      <c r="R170" s="5" t="s">
        <v>112</v>
      </c>
      <c r="S170" s="41">
        <v>3</v>
      </c>
      <c r="T170" s="41" t="s">
        <v>285</v>
      </c>
      <c r="U170" s="41"/>
      <c r="V170" s="41"/>
      <c r="W170" s="174">
        <v>45992</v>
      </c>
      <c r="X170" s="174">
        <v>45992</v>
      </c>
      <c r="Y170" s="41"/>
      <c r="Z170" s="42" t="s">
        <v>817</v>
      </c>
      <c r="AA170" s="37" t="s">
        <v>1022</v>
      </c>
      <c r="AB170" s="42" t="s">
        <v>345</v>
      </c>
      <c r="AC170" s="42"/>
      <c r="AD170" s="51"/>
      <c r="AE170" s="51"/>
      <c r="AF170" s="12">
        <f t="shared" si="2"/>
        <v>82</v>
      </c>
      <c r="AG170" s="7">
        <v>80</v>
      </c>
      <c r="AH170" s="7" t="s">
        <v>1023</v>
      </c>
      <c r="AI170" s="7">
        <v>80</v>
      </c>
      <c r="AJ170" s="7"/>
      <c r="AK170" s="7">
        <v>80</v>
      </c>
      <c r="AL170" s="7" t="s">
        <v>1024</v>
      </c>
      <c r="AM170" s="7">
        <v>100</v>
      </c>
      <c r="AN170" s="7"/>
      <c r="AO170" s="63">
        <v>5.8</v>
      </c>
      <c r="AP170" s="58">
        <v>1600</v>
      </c>
      <c r="AQ170" s="58">
        <v>330</v>
      </c>
      <c r="AR170" s="58">
        <f>PAI2025Planejamento[[#This Row],[DIÁRIA SOLICITADA]]</f>
        <v>330</v>
      </c>
      <c r="AS170" s="30">
        <v>11484</v>
      </c>
      <c r="AT170" s="30">
        <v>9280</v>
      </c>
      <c r="AU170" s="30">
        <v>20764</v>
      </c>
      <c r="AV170" s="197">
        <v>11484</v>
      </c>
      <c r="AW170" s="197">
        <v>9280</v>
      </c>
      <c r="AX170" s="197">
        <v>20764</v>
      </c>
      <c r="AY170" s="203"/>
      <c r="AZ170" s="203"/>
      <c r="BA170" s="203">
        <v>0</v>
      </c>
      <c r="BB170" s="41" t="s">
        <v>1025</v>
      </c>
      <c r="BC170" s="191"/>
      <c r="BD170" s="190">
        <v>3</v>
      </c>
      <c r="BE170" s="30"/>
      <c r="BF170" s="186"/>
      <c r="BG170" s="183"/>
      <c r="BH170" s="183"/>
    </row>
    <row r="171" spans="1:60" ht="30" hidden="1" customHeight="1">
      <c r="A171" s="41" t="s">
        <v>336</v>
      </c>
      <c r="B171" s="116" t="s">
        <v>1020</v>
      </c>
      <c r="C171" s="116">
        <v>2025</v>
      </c>
      <c r="D171" s="116"/>
      <c r="E171" s="117" t="s">
        <v>625</v>
      </c>
      <c r="F171" s="118" t="s">
        <v>166</v>
      </c>
      <c r="G171" s="116" t="s">
        <v>1026</v>
      </c>
      <c r="H171" s="119"/>
      <c r="I171" s="118"/>
      <c r="J171" s="41" t="s">
        <v>110</v>
      </c>
      <c r="K171" s="41">
        <v>1</v>
      </c>
      <c r="L171" s="41" t="s">
        <v>110</v>
      </c>
      <c r="M171" s="41">
        <v>1</v>
      </c>
      <c r="N171" s="39"/>
      <c r="O171" s="39"/>
      <c r="P171" s="5" t="s">
        <v>111</v>
      </c>
      <c r="Q171" s="41"/>
      <c r="R171" s="5" t="s">
        <v>112</v>
      </c>
      <c r="S171" s="41">
        <v>3</v>
      </c>
      <c r="T171" s="41" t="s">
        <v>801</v>
      </c>
      <c r="U171" s="41"/>
      <c r="V171" s="41"/>
      <c r="W171" s="174">
        <v>45992</v>
      </c>
      <c r="X171" s="174">
        <v>45992</v>
      </c>
      <c r="Y171" s="41"/>
      <c r="Z171" s="42" t="s">
        <v>817</v>
      </c>
      <c r="AA171" s="37" t="s">
        <v>1022</v>
      </c>
      <c r="AB171" s="42" t="s">
        <v>345</v>
      </c>
      <c r="AC171" s="42"/>
      <c r="AD171" s="51"/>
      <c r="AE171" s="51"/>
      <c r="AF171" s="12">
        <f t="shared" si="2"/>
        <v>82</v>
      </c>
      <c r="AG171" s="7">
        <v>80</v>
      </c>
      <c r="AH171" s="7" t="s">
        <v>1023</v>
      </c>
      <c r="AI171" s="7">
        <v>80</v>
      </c>
      <c r="AJ171" s="7"/>
      <c r="AK171" s="7">
        <v>80</v>
      </c>
      <c r="AL171" s="7" t="s">
        <v>1024</v>
      </c>
      <c r="AM171" s="7">
        <v>100</v>
      </c>
      <c r="AN171" s="7"/>
      <c r="AO171" s="63">
        <v>5.8</v>
      </c>
      <c r="AP171" s="58">
        <v>1600</v>
      </c>
      <c r="AQ171" s="58">
        <v>460</v>
      </c>
      <c r="AR171" s="58">
        <f>PAI2025Planejamento[[#This Row],[DIÁRIA SOLICITADA]]</f>
        <v>460</v>
      </c>
      <c r="AS171" s="30">
        <v>16008</v>
      </c>
      <c r="AT171" s="30">
        <v>9280</v>
      </c>
      <c r="AU171" s="30">
        <v>25288</v>
      </c>
      <c r="AV171" s="197">
        <v>16008</v>
      </c>
      <c r="AW171" s="197">
        <v>9280</v>
      </c>
      <c r="AX171" s="197">
        <v>25288</v>
      </c>
      <c r="AY171" s="203"/>
      <c r="AZ171" s="203"/>
      <c r="BA171" s="203">
        <v>0</v>
      </c>
      <c r="BB171" s="41" t="s">
        <v>824</v>
      </c>
      <c r="BC171" s="191"/>
      <c r="BD171" s="190">
        <v>3</v>
      </c>
      <c r="BE171" s="30"/>
      <c r="BF171" s="186"/>
      <c r="BG171" s="183"/>
      <c r="BH171" s="183"/>
    </row>
    <row r="172" spans="1:60" ht="30" hidden="1" customHeight="1">
      <c r="A172" s="41" t="s">
        <v>336</v>
      </c>
      <c r="B172" s="116" t="s">
        <v>1020</v>
      </c>
      <c r="C172" s="116">
        <v>2025</v>
      </c>
      <c r="D172" s="116"/>
      <c r="E172" s="117" t="s">
        <v>201</v>
      </c>
      <c r="F172" s="117" t="s">
        <v>166</v>
      </c>
      <c r="G172" s="116" t="s">
        <v>1027</v>
      </c>
      <c r="H172" s="116"/>
      <c r="I172" s="118"/>
      <c r="J172" s="41" t="s">
        <v>110</v>
      </c>
      <c r="K172" s="41">
        <v>1</v>
      </c>
      <c r="L172" s="41" t="s">
        <v>110</v>
      </c>
      <c r="M172" s="41">
        <v>1</v>
      </c>
      <c r="N172" s="39"/>
      <c r="O172" s="39"/>
      <c r="P172" s="5" t="s">
        <v>111</v>
      </c>
      <c r="Q172" s="41"/>
      <c r="R172" s="5" t="s">
        <v>112</v>
      </c>
      <c r="S172" s="41">
        <v>3</v>
      </c>
      <c r="T172" s="41" t="s">
        <v>801</v>
      </c>
      <c r="U172" s="41"/>
      <c r="V172" s="41"/>
      <c r="W172" s="174">
        <v>45992</v>
      </c>
      <c r="X172" s="174">
        <v>45992</v>
      </c>
      <c r="Y172" s="41"/>
      <c r="Z172" s="42" t="s">
        <v>817</v>
      </c>
      <c r="AA172" s="37" t="s">
        <v>1022</v>
      </c>
      <c r="AB172" s="42" t="s">
        <v>345</v>
      </c>
      <c r="AC172" s="42"/>
      <c r="AD172" s="51"/>
      <c r="AE172" s="51"/>
      <c r="AF172" s="12">
        <f t="shared" si="2"/>
        <v>82</v>
      </c>
      <c r="AG172" s="7">
        <v>80</v>
      </c>
      <c r="AH172" s="7" t="s">
        <v>1023</v>
      </c>
      <c r="AI172" s="7">
        <v>80</v>
      </c>
      <c r="AJ172" s="7"/>
      <c r="AK172" s="7">
        <v>80</v>
      </c>
      <c r="AL172" s="7" t="s">
        <v>1024</v>
      </c>
      <c r="AM172" s="7">
        <v>100</v>
      </c>
      <c r="AN172" s="7"/>
      <c r="AO172" s="63">
        <v>5.8</v>
      </c>
      <c r="AP172" s="58">
        <v>1600</v>
      </c>
      <c r="AQ172" s="58">
        <v>460</v>
      </c>
      <c r="AR172" s="58">
        <f>PAI2025Planejamento[[#This Row],[DIÁRIA SOLICITADA]]</f>
        <v>460</v>
      </c>
      <c r="AS172" s="30">
        <v>16008</v>
      </c>
      <c r="AT172" s="30">
        <v>9280</v>
      </c>
      <c r="AU172" s="30">
        <v>25288</v>
      </c>
      <c r="AV172" s="197">
        <v>16008</v>
      </c>
      <c r="AW172" s="197">
        <v>9280</v>
      </c>
      <c r="AX172" s="197">
        <v>25288</v>
      </c>
      <c r="AY172" s="203"/>
      <c r="AZ172" s="203"/>
      <c r="BA172" s="203">
        <v>0</v>
      </c>
      <c r="BB172" s="41"/>
      <c r="BC172" s="191"/>
      <c r="BD172" s="190">
        <v>3</v>
      </c>
      <c r="BE172" s="30"/>
      <c r="BF172" s="186"/>
      <c r="BG172" s="183"/>
      <c r="BH172" s="183"/>
    </row>
    <row r="173" spans="1:60" ht="30" customHeight="1">
      <c r="A173" s="41" t="s">
        <v>735</v>
      </c>
      <c r="B173" s="116" t="s">
        <v>1028</v>
      </c>
      <c r="C173" s="116" t="s">
        <v>1029</v>
      </c>
      <c r="D173" s="116" t="s">
        <v>1030</v>
      </c>
      <c r="E173" s="117" t="s">
        <v>195</v>
      </c>
      <c r="F173" s="117" t="s">
        <v>166</v>
      </c>
      <c r="G173" s="116" t="s">
        <v>923</v>
      </c>
      <c r="H173" s="119"/>
      <c r="I173" s="118" t="s">
        <v>341</v>
      </c>
      <c r="J173" s="41" t="s">
        <v>110</v>
      </c>
      <c r="K173" s="41">
        <v>1</v>
      </c>
      <c r="L173" s="41" t="s">
        <v>110</v>
      </c>
      <c r="M173" s="41">
        <v>1</v>
      </c>
      <c r="N173" s="7" t="s">
        <v>115</v>
      </c>
      <c r="O173" s="39">
        <v>1</v>
      </c>
      <c r="P173" s="5" t="s">
        <v>111</v>
      </c>
      <c r="Q173" s="41"/>
      <c r="R173" s="5" t="s">
        <v>112</v>
      </c>
      <c r="S173" s="41">
        <v>2</v>
      </c>
      <c r="T173" s="41" t="s">
        <v>2292</v>
      </c>
      <c r="U173" s="41" t="s">
        <v>2292</v>
      </c>
      <c r="V173" s="41" t="s">
        <v>115</v>
      </c>
      <c r="W173" s="174">
        <v>45887</v>
      </c>
      <c r="X173" s="174">
        <v>45889</v>
      </c>
      <c r="Y173" s="41"/>
      <c r="Z173" s="42" t="s">
        <v>817</v>
      </c>
      <c r="AA173" s="37" t="s">
        <v>1031</v>
      </c>
      <c r="AB173" s="42" t="s">
        <v>118</v>
      </c>
      <c r="AC173" s="42"/>
      <c r="AD173" s="51"/>
      <c r="AE173" s="51"/>
      <c r="AF173" s="12">
        <f t="shared" si="2"/>
        <v>82</v>
      </c>
      <c r="AG173" s="7">
        <v>80</v>
      </c>
      <c r="AH173" s="7"/>
      <c r="AI173" s="7">
        <v>80</v>
      </c>
      <c r="AJ173" s="7" t="s">
        <v>1032</v>
      </c>
      <c r="AK173" s="7">
        <v>80</v>
      </c>
      <c r="AL173" s="7"/>
      <c r="AM173" s="7">
        <v>100</v>
      </c>
      <c r="AN173" s="7" t="s">
        <v>929</v>
      </c>
      <c r="AO173" s="63">
        <v>5.8</v>
      </c>
      <c r="AP173" s="58">
        <v>800</v>
      </c>
      <c r="AQ173" s="58">
        <v>280</v>
      </c>
      <c r="AR173" s="58">
        <v>280</v>
      </c>
      <c r="AS173" s="30">
        <v>6496</v>
      </c>
      <c r="AT173" s="30">
        <v>4640</v>
      </c>
      <c r="AU173" s="30">
        <v>11136</v>
      </c>
      <c r="AV173" s="197">
        <v>6496</v>
      </c>
      <c r="AW173" s="197">
        <v>4640</v>
      </c>
      <c r="AX173" s="197">
        <v>11136</v>
      </c>
      <c r="AY173" s="203"/>
      <c r="AZ173" s="203"/>
      <c r="BA173" s="203">
        <v>0</v>
      </c>
      <c r="BB173" s="41" t="s">
        <v>317</v>
      </c>
      <c r="BC173" s="191" t="s">
        <v>1033</v>
      </c>
      <c r="BD173" s="190">
        <v>2</v>
      </c>
      <c r="BE173" s="30"/>
      <c r="BF173" s="186"/>
      <c r="BG173" s="183"/>
      <c r="BH173" s="183"/>
    </row>
    <row r="174" spans="1:60" ht="30" hidden="1" customHeight="1">
      <c r="A174" s="41" t="s">
        <v>183</v>
      </c>
      <c r="B174" s="116" t="s">
        <v>1034</v>
      </c>
      <c r="C174" s="116">
        <v>2025</v>
      </c>
      <c r="D174" s="116" t="s">
        <v>882</v>
      </c>
      <c r="E174" s="117" t="s">
        <v>216</v>
      </c>
      <c r="F174" s="117" t="s">
        <v>217</v>
      </c>
      <c r="G174" s="116"/>
      <c r="H174" s="119"/>
      <c r="I174" s="118" t="s">
        <v>341</v>
      </c>
      <c r="J174" s="41" t="s">
        <v>110</v>
      </c>
      <c r="K174" s="41">
        <v>2</v>
      </c>
      <c r="L174" s="41" t="s">
        <v>110</v>
      </c>
      <c r="M174" s="41">
        <v>2</v>
      </c>
      <c r="N174" s="39" t="s">
        <v>115</v>
      </c>
      <c r="O174" s="39">
        <v>1</v>
      </c>
      <c r="P174" s="5" t="s">
        <v>111</v>
      </c>
      <c r="Q174" s="41">
        <v>1</v>
      </c>
      <c r="R174" s="5" t="s">
        <v>112</v>
      </c>
      <c r="S174" s="41">
        <v>3</v>
      </c>
      <c r="T174" s="41" t="s">
        <v>232</v>
      </c>
      <c r="U174" s="41" t="s">
        <v>233</v>
      </c>
      <c r="V174" s="41"/>
      <c r="W174" s="174">
        <v>45816</v>
      </c>
      <c r="X174" s="174">
        <v>45821</v>
      </c>
      <c r="Y174" s="41"/>
      <c r="Z174" s="42" t="s">
        <v>817</v>
      </c>
      <c r="AA174" s="42" t="s">
        <v>1035</v>
      </c>
      <c r="AB174" s="42" t="s">
        <v>118</v>
      </c>
      <c r="AC174" s="42" t="s">
        <v>1036</v>
      </c>
      <c r="AD174" s="42"/>
      <c r="AE174" s="42"/>
      <c r="AF174" s="12">
        <f t="shared" si="2"/>
        <v>82</v>
      </c>
      <c r="AG174" s="7">
        <v>100</v>
      </c>
      <c r="AH174" s="7" t="s">
        <v>1037</v>
      </c>
      <c r="AI174" s="7">
        <v>40</v>
      </c>
      <c r="AJ174" s="7"/>
      <c r="AK174" s="7">
        <v>100</v>
      </c>
      <c r="AL174" s="7" t="s">
        <v>1038</v>
      </c>
      <c r="AM174" s="7">
        <v>100</v>
      </c>
      <c r="AN174" s="7" t="s">
        <v>880</v>
      </c>
      <c r="AO174" s="63">
        <v>5.8</v>
      </c>
      <c r="AP174" s="58">
        <v>1600</v>
      </c>
      <c r="AQ174" s="58">
        <f t="shared" ref="AQ174:AR177" si="3">AVERAGE(460,390)</f>
        <v>425</v>
      </c>
      <c r="AR174" s="58">
        <f t="shared" si="3"/>
        <v>425</v>
      </c>
      <c r="AS174" s="30">
        <v>29580</v>
      </c>
      <c r="AT174" s="30">
        <v>18560</v>
      </c>
      <c r="AU174" s="30">
        <v>48140</v>
      </c>
      <c r="AV174" s="197">
        <f>29580/2</f>
        <v>14790</v>
      </c>
      <c r="AW174" s="197">
        <f>18560/2</f>
        <v>9280</v>
      </c>
      <c r="AX174" s="197">
        <f>48140/2</f>
        <v>24070</v>
      </c>
      <c r="AY174" s="203">
        <v>10606.21</v>
      </c>
      <c r="AZ174" s="203"/>
      <c r="BA174" s="203">
        <v>10606.21</v>
      </c>
      <c r="BB174" s="41" t="s">
        <v>1039</v>
      </c>
      <c r="BC174" s="191" t="s">
        <v>1040</v>
      </c>
      <c r="BD174" s="189">
        <v>3</v>
      </c>
      <c r="BE174" s="30" t="s">
        <v>1041</v>
      </c>
      <c r="BF174" s="186"/>
      <c r="BG174" s="183"/>
      <c r="BH174" s="183"/>
    </row>
    <row r="175" spans="1:60" ht="30" hidden="1" customHeight="1">
      <c r="A175" s="41" t="s">
        <v>183</v>
      </c>
      <c r="B175" s="116" t="s">
        <v>1034</v>
      </c>
      <c r="C175" s="116">
        <v>2025</v>
      </c>
      <c r="D175" s="116" t="s">
        <v>882</v>
      </c>
      <c r="E175" s="117" t="s">
        <v>216</v>
      </c>
      <c r="F175" s="117" t="s">
        <v>217</v>
      </c>
      <c r="G175" s="116"/>
      <c r="H175" s="119"/>
      <c r="I175" s="118" t="s">
        <v>341</v>
      </c>
      <c r="J175" s="41" t="s">
        <v>110</v>
      </c>
      <c r="K175" s="41">
        <v>0</v>
      </c>
      <c r="L175" s="41" t="s">
        <v>110</v>
      </c>
      <c r="M175" s="41">
        <v>0</v>
      </c>
      <c r="N175" s="39" t="s">
        <v>115</v>
      </c>
      <c r="O175" s="39">
        <v>1</v>
      </c>
      <c r="P175" s="5" t="s">
        <v>111</v>
      </c>
      <c r="Q175" s="41">
        <v>1</v>
      </c>
      <c r="R175" s="5" t="s">
        <v>112</v>
      </c>
      <c r="S175" s="41">
        <v>3</v>
      </c>
      <c r="T175" s="41" t="s">
        <v>232</v>
      </c>
      <c r="U175" s="41" t="s">
        <v>233</v>
      </c>
      <c r="V175" s="41"/>
      <c r="W175" s="174">
        <v>45816</v>
      </c>
      <c r="X175" s="174">
        <v>45821</v>
      </c>
      <c r="Y175" s="41"/>
      <c r="Z175" s="42" t="s">
        <v>817</v>
      </c>
      <c r="AA175" s="42" t="s">
        <v>1035</v>
      </c>
      <c r="AB175" s="42" t="s">
        <v>118</v>
      </c>
      <c r="AC175" s="42" t="s">
        <v>1036</v>
      </c>
      <c r="AD175" s="42"/>
      <c r="AE175" s="42"/>
      <c r="AF175" s="12">
        <f t="shared" ref="AF175" si="4">AG175*$AG$2+AI175*$AI$2+AK175*$AK$2+AM175*$AM$2</f>
        <v>82</v>
      </c>
      <c r="AG175" s="7">
        <v>100</v>
      </c>
      <c r="AH175" s="7" t="s">
        <v>1037</v>
      </c>
      <c r="AI175" s="7">
        <v>40</v>
      </c>
      <c r="AJ175" s="7"/>
      <c r="AK175" s="7">
        <v>100</v>
      </c>
      <c r="AL175" s="7" t="s">
        <v>1038</v>
      </c>
      <c r="AM175" s="7">
        <v>100</v>
      </c>
      <c r="AN175" s="7" t="s">
        <v>880</v>
      </c>
      <c r="AO175" s="63">
        <v>5.8</v>
      </c>
      <c r="AP175" s="58">
        <v>1600</v>
      </c>
      <c r="AQ175" s="58">
        <f t="shared" si="3"/>
        <v>425</v>
      </c>
      <c r="AR175" s="58">
        <f t="shared" si="3"/>
        <v>425</v>
      </c>
      <c r="AS175" s="30">
        <v>29580</v>
      </c>
      <c r="AT175" s="30">
        <v>18560</v>
      </c>
      <c r="AU175" s="30">
        <v>48140</v>
      </c>
      <c r="AV175" s="197">
        <f>29580/2</f>
        <v>14790</v>
      </c>
      <c r="AW175" s="197">
        <f>18560/2</f>
        <v>9280</v>
      </c>
      <c r="AX175" s="197">
        <f>48140/2</f>
        <v>24070</v>
      </c>
      <c r="AY175" s="203">
        <v>12855.16</v>
      </c>
      <c r="AZ175" s="203"/>
      <c r="BA175" s="203">
        <v>12855.16</v>
      </c>
      <c r="BB175" s="41" t="s">
        <v>572</v>
      </c>
      <c r="BC175" s="191" t="s">
        <v>1040</v>
      </c>
      <c r="BD175" s="189">
        <v>3</v>
      </c>
      <c r="BE175" s="30" t="s">
        <v>1041</v>
      </c>
      <c r="BF175" s="186"/>
      <c r="BG175" s="183"/>
      <c r="BH175" s="183"/>
    </row>
    <row r="176" spans="1:60" ht="30" hidden="1" customHeight="1">
      <c r="A176" s="41" t="s">
        <v>183</v>
      </c>
      <c r="B176" s="116" t="s">
        <v>1034</v>
      </c>
      <c r="C176" s="116">
        <v>2025</v>
      </c>
      <c r="D176" s="116" t="s">
        <v>882</v>
      </c>
      <c r="E176" s="117" t="s">
        <v>107</v>
      </c>
      <c r="F176" s="117" t="s">
        <v>217</v>
      </c>
      <c r="G176" s="116"/>
      <c r="H176" s="119"/>
      <c r="I176" s="118" t="s">
        <v>341</v>
      </c>
      <c r="J176" s="41" t="s">
        <v>110</v>
      </c>
      <c r="K176" s="41">
        <v>0</v>
      </c>
      <c r="L176" s="41" t="s">
        <v>110</v>
      </c>
      <c r="M176" s="41">
        <v>0</v>
      </c>
      <c r="N176" s="39" t="s">
        <v>115</v>
      </c>
      <c r="O176" s="39">
        <v>1</v>
      </c>
      <c r="P176" s="5" t="s">
        <v>111</v>
      </c>
      <c r="Q176" s="41">
        <v>1</v>
      </c>
      <c r="R176" s="5" t="s">
        <v>112</v>
      </c>
      <c r="S176" s="41">
        <v>3</v>
      </c>
      <c r="T176" s="41" t="s">
        <v>232</v>
      </c>
      <c r="U176" s="41" t="s">
        <v>233</v>
      </c>
      <c r="V176" s="41"/>
      <c r="W176" s="174">
        <v>45816</v>
      </c>
      <c r="X176" s="174">
        <v>45821</v>
      </c>
      <c r="Y176" s="41"/>
      <c r="Z176" s="42" t="s">
        <v>817</v>
      </c>
      <c r="AA176" s="42" t="s">
        <v>1035</v>
      </c>
      <c r="AB176" s="42" t="s">
        <v>118</v>
      </c>
      <c r="AC176" s="42" t="s">
        <v>1036</v>
      </c>
      <c r="AD176" s="42"/>
      <c r="AE176" s="42"/>
      <c r="AF176" s="12">
        <f t="shared" ref="AF176:AF177" si="5">AG176*$AG$2+AI176*$AI$2+AK176*$AK$2+AM176*$AM$2</f>
        <v>82</v>
      </c>
      <c r="AG176" s="7">
        <v>100</v>
      </c>
      <c r="AH176" s="7" t="s">
        <v>1037</v>
      </c>
      <c r="AI176" s="7">
        <v>40</v>
      </c>
      <c r="AJ176" s="7"/>
      <c r="AK176" s="7">
        <v>100</v>
      </c>
      <c r="AL176" s="7" t="s">
        <v>1038</v>
      </c>
      <c r="AM176" s="7">
        <v>100</v>
      </c>
      <c r="AN176" s="7" t="s">
        <v>880</v>
      </c>
      <c r="AO176" s="63">
        <v>5.8</v>
      </c>
      <c r="AP176" s="58">
        <v>1600</v>
      </c>
      <c r="AQ176" s="58">
        <f t="shared" si="3"/>
        <v>425</v>
      </c>
      <c r="AR176" s="58">
        <f t="shared" si="3"/>
        <v>425</v>
      </c>
      <c r="AS176" s="30">
        <v>29580</v>
      </c>
      <c r="AT176" s="30">
        <v>18560</v>
      </c>
      <c r="AU176" s="30">
        <v>48140</v>
      </c>
      <c r="AV176" s="197">
        <f>29580/2</f>
        <v>14790</v>
      </c>
      <c r="AW176" s="197">
        <f>18560/2</f>
        <v>9280</v>
      </c>
      <c r="AX176" s="197">
        <f>48140/2</f>
        <v>24070</v>
      </c>
      <c r="AY176" s="203">
        <v>15471.64</v>
      </c>
      <c r="AZ176" s="203"/>
      <c r="BA176" s="203">
        <v>15471.64</v>
      </c>
      <c r="BB176" s="41" t="s">
        <v>1042</v>
      </c>
      <c r="BC176" s="191" t="s">
        <v>1040</v>
      </c>
      <c r="BD176" s="189">
        <v>3</v>
      </c>
      <c r="BE176" s="30" t="s">
        <v>1041</v>
      </c>
      <c r="BF176" s="186"/>
      <c r="BG176" s="183"/>
      <c r="BH176" s="183"/>
    </row>
    <row r="177" spans="1:60" ht="30" hidden="1" customHeight="1">
      <c r="A177" s="41" t="s">
        <v>183</v>
      </c>
      <c r="B177" s="116" t="s">
        <v>1034</v>
      </c>
      <c r="C177" s="116">
        <v>2025</v>
      </c>
      <c r="D177" s="116" t="s">
        <v>882</v>
      </c>
      <c r="E177" s="117" t="s">
        <v>107</v>
      </c>
      <c r="F177" s="117" t="s">
        <v>217</v>
      </c>
      <c r="G177" s="116"/>
      <c r="H177" s="119"/>
      <c r="I177" s="118" t="s">
        <v>341</v>
      </c>
      <c r="J177" s="41" t="s">
        <v>110</v>
      </c>
      <c r="K177" s="41">
        <v>0</v>
      </c>
      <c r="L177" s="41" t="s">
        <v>110</v>
      </c>
      <c r="M177" s="41">
        <v>0</v>
      </c>
      <c r="N177" s="39" t="s">
        <v>115</v>
      </c>
      <c r="O177" s="39">
        <v>1</v>
      </c>
      <c r="P177" s="5" t="s">
        <v>111</v>
      </c>
      <c r="Q177" s="41">
        <v>1</v>
      </c>
      <c r="R177" s="5" t="s">
        <v>112</v>
      </c>
      <c r="S177" s="41">
        <v>3</v>
      </c>
      <c r="T177" s="41" t="s">
        <v>232</v>
      </c>
      <c r="U177" s="41" t="s">
        <v>233</v>
      </c>
      <c r="V177" s="41"/>
      <c r="W177" s="174">
        <v>45816</v>
      </c>
      <c r="X177" s="174">
        <v>45821</v>
      </c>
      <c r="Y177" s="41"/>
      <c r="Z177" s="42" t="s">
        <v>817</v>
      </c>
      <c r="AA177" s="42" t="s">
        <v>1035</v>
      </c>
      <c r="AB177" s="42" t="s">
        <v>118</v>
      </c>
      <c r="AC177" s="42" t="s">
        <v>1036</v>
      </c>
      <c r="AD177" s="42"/>
      <c r="AE177" s="42"/>
      <c r="AF177" s="12">
        <f t="shared" si="5"/>
        <v>82</v>
      </c>
      <c r="AG177" s="7">
        <v>100</v>
      </c>
      <c r="AH177" s="7" t="s">
        <v>1037</v>
      </c>
      <c r="AI177" s="7">
        <v>40</v>
      </c>
      <c r="AJ177" s="7"/>
      <c r="AK177" s="7">
        <v>100</v>
      </c>
      <c r="AL177" s="7" t="s">
        <v>1038</v>
      </c>
      <c r="AM177" s="7">
        <v>100</v>
      </c>
      <c r="AN177" s="7" t="s">
        <v>880</v>
      </c>
      <c r="AO177" s="63">
        <v>5.8</v>
      </c>
      <c r="AP177" s="58">
        <v>1600</v>
      </c>
      <c r="AQ177" s="58">
        <f t="shared" si="3"/>
        <v>425</v>
      </c>
      <c r="AR177" s="58">
        <f t="shared" si="3"/>
        <v>425</v>
      </c>
      <c r="AS177" s="30">
        <v>29580</v>
      </c>
      <c r="AT177" s="30">
        <v>18560</v>
      </c>
      <c r="AU177" s="30">
        <v>48140</v>
      </c>
      <c r="AV177" s="197">
        <f>29580/2</f>
        <v>14790</v>
      </c>
      <c r="AW177" s="197">
        <f>18560/2</f>
        <v>9280</v>
      </c>
      <c r="AX177" s="197">
        <f>48140/2</f>
        <v>24070</v>
      </c>
      <c r="AY177" s="203">
        <v>13082.68</v>
      </c>
      <c r="AZ177" s="203"/>
      <c r="BA177" s="203">
        <v>13082.68</v>
      </c>
      <c r="BB177" s="41" t="s">
        <v>1043</v>
      </c>
      <c r="BC177" s="191" t="s">
        <v>1040</v>
      </c>
      <c r="BD177" s="189">
        <v>3</v>
      </c>
      <c r="BE177" s="30" t="s">
        <v>1041</v>
      </c>
      <c r="BF177" s="186"/>
      <c r="BG177" s="183"/>
      <c r="BH177" s="183"/>
    </row>
    <row r="178" spans="1:60" ht="30" hidden="1" customHeight="1">
      <c r="A178" s="41" t="s">
        <v>1044</v>
      </c>
      <c r="B178" s="116" t="s">
        <v>1045</v>
      </c>
      <c r="C178" s="116">
        <v>2025</v>
      </c>
      <c r="D178" s="116"/>
      <c r="E178" s="117" t="s">
        <v>216</v>
      </c>
      <c r="F178" s="118" t="s">
        <v>217</v>
      </c>
      <c r="G178" s="116"/>
      <c r="H178" s="119"/>
      <c r="I178" s="118"/>
      <c r="J178" s="41" t="s">
        <v>110</v>
      </c>
      <c r="K178" s="41">
        <v>3</v>
      </c>
      <c r="L178" s="41" t="s">
        <v>110</v>
      </c>
      <c r="M178" s="41">
        <v>3</v>
      </c>
      <c r="N178" s="39" t="s">
        <v>115</v>
      </c>
      <c r="O178" s="39">
        <v>1</v>
      </c>
      <c r="P178" s="5" t="s">
        <v>111</v>
      </c>
      <c r="Q178" s="41"/>
      <c r="R178" s="5" t="s">
        <v>112</v>
      </c>
      <c r="S178" s="41">
        <v>5</v>
      </c>
      <c r="T178" s="41" t="s">
        <v>801</v>
      </c>
      <c r="U178" s="41"/>
      <c r="V178" s="41"/>
      <c r="W178" s="174">
        <v>45992</v>
      </c>
      <c r="X178" s="174">
        <v>45992</v>
      </c>
      <c r="Y178" s="41"/>
      <c r="Z178" s="42" t="s">
        <v>817</v>
      </c>
      <c r="AA178" s="42" t="s">
        <v>1046</v>
      </c>
      <c r="AB178" s="42" t="s">
        <v>517</v>
      </c>
      <c r="AC178" s="42" t="s">
        <v>1036</v>
      </c>
      <c r="AD178" s="42"/>
      <c r="AE178" s="42"/>
      <c r="AF178" s="12">
        <f t="shared" si="2"/>
        <v>82</v>
      </c>
      <c r="AG178" s="7">
        <v>100</v>
      </c>
      <c r="AH178" s="7"/>
      <c r="AI178" s="7">
        <v>40</v>
      </c>
      <c r="AJ178" s="7"/>
      <c r="AK178" s="7">
        <v>100</v>
      </c>
      <c r="AL178" s="7" t="s">
        <v>1047</v>
      </c>
      <c r="AM178" s="7">
        <v>100</v>
      </c>
      <c r="AN178" s="7" t="s">
        <v>865</v>
      </c>
      <c r="AO178" s="63">
        <v>5.8</v>
      </c>
      <c r="AP178" s="58">
        <v>1600</v>
      </c>
      <c r="AQ178" s="62">
        <f>AVERAGE(460,390,390)</f>
        <v>413.33333333333331</v>
      </c>
      <c r="AR178" s="62">
        <f>AVERAGE(460,390,390)</f>
        <v>413.33333333333331</v>
      </c>
      <c r="AS178" s="30">
        <v>57535.999999999993</v>
      </c>
      <c r="AT178" s="30">
        <v>27840</v>
      </c>
      <c r="AU178" s="30">
        <v>85376</v>
      </c>
      <c r="AV178" s="197">
        <v>57535.999999999993</v>
      </c>
      <c r="AW178" s="197">
        <v>27840</v>
      </c>
      <c r="AX178" s="197">
        <v>85376</v>
      </c>
      <c r="AY178" s="203"/>
      <c r="AZ178" s="203"/>
      <c r="BA178" s="203">
        <v>0</v>
      </c>
      <c r="BB178" s="41" t="s">
        <v>1048</v>
      </c>
      <c r="BC178" s="191"/>
      <c r="BD178" s="189">
        <v>3</v>
      </c>
      <c r="BE178" s="30" t="s">
        <v>968</v>
      </c>
      <c r="BF178" s="186" t="s">
        <v>969</v>
      </c>
      <c r="BG178" s="183"/>
      <c r="BH178" s="183"/>
    </row>
    <row r="179" spans="1:60" ht="30" hidden="1" customHeight="1">
      <c r="A179" s="41" t="s">
        <v>735</v>
      </c>
      <c r="B179" s="116" t="s">
        <v>1028</v>
      </c>
      <c r="C179" s="116" t="s">
        <v>1029</v>
      </c>
      <c r="D179" s="150" t="s">
        <v>1030</v>
      </c>
      <c r="E179" s="117" t="s">
        <v>201</v>
      </c>
      <c r="F179" s="118" t="s">
        <v>166</v>
      </c>
      <c r="G179" s="116" t="s">
        <v>763</v>
      </c>
      <c r="H179" s="119"/>
      <c r="I179" s="118"/>
      <c r="J179" s="41" t="s">
        <v>110</v>
      </c>
      <c r="K179" s="41">
        <v>1</v>
      </c>
      <c r="L179" s="41" t="s">
        <v>110</v>
      </c>
      <c r="M179" s="41">
        <v>1</v>
      </c>
      <c r="N179" s="39"/>
      <c r="O179" s="39"/>
      <c r="P179" s="5" t="s">
        <v>111</v>
      </c>
      <c r="Q179" s="41"/>
      <c r="R179" s="5" t="s">
        <v>112</v>
      </c>
      <c r="S179" s="41">
        <v>2</v>
      </c>
      <c r="T179" s="41" t="s">
        <v>924</v>
      </c>
      <c r="U179" s="41"/>
      <c r="V179" s="41" t="s">
        <v>115</v>
      </c>
      <c r="W179" s="174">
        <v>45992</v>
      </c>
      <c r="X179" s="174">
        <v>45992</v>
      </c>
      <c r="Y179" s="41"/>
      <c r="Z179" s="42" t="s">
        <v>817</v>
      </c>
      <c r="AA179" s="37" t="s">
        <v>1031</v>
      </c>
      <c r="AB179" s="42" t="s">
        <v>118</v>
      </c>
      <c r="AC179" s="42"/>
      <c r="AD179" s="51"/>
      <c r="AE179" s="51"/>
      <c r="AF179" s="12">
        <f t="shared" si="2"/>
        <v>82</v>
      </c>
      <c r="AG179" s="7">
        <v>80</v>
      </c>
      <c r="AH179" s="7"/>
      <c r="AI179" s="7">
        <v>80</v>
      </c>
      <c r="AJ179" s="7" t="s">
        <v>1032</v>
      </c>
      <c r="AK179" s="7">
        <v>80</v>
      </c>
      <c r="AL179" s="7"/>
      <c r="AM179" s="7">
        <v>100</v>
      </c>
      <c r="AN179" s="7" t="s">
        <v>929</v>
      </c>
      <c r="AO179" s="63">
        <v>5.8</v>
      </c>
      <c r="AP179" s="58">
        <v>800</v>
      </c>
      <c r="AQ179" s="58">
        <v>300</v>
      </c>
      <c r="AR179" s="58">
        <v>300</v>
      </c>
      <c r="AS179" s="30">
        <v>6960</v>
      </c>
      <c r="AT179" s="30">
        <v>4640</v>
      </c>
      <c r="AU179" s="30">
        <v>11600</v>
      </c>
      <c r="AV179" s="197">
        <v>6960</v>
      </c>
      <c r="AW179" s="197">
        <v>4640</v>
      </c>
      <c r="AX179" s="197">
        <v>11600</v>
      </c>
      <c r="AY179" s="203"/>
      <c r="AZ179" s="203"/>
      <c r="BA179" s="203">
        <v>0</v>
      </c>
      <c r="BB179" s="41"/>
      <c r="BC179" s="191"/>
      <c r="BD179" s="190">
        <v>2</v>
      </c>
      <c r="BE179" s="30"/>
      <c r="BF179" s="186"/>
      <c r="BG179" s="183"/>
      <c r="BH179" s="183"/>
    </row>
    <row r="180" spans="1:60" ht="30" customHeight="1">
      <c r="A180" s="41" t="s">
        <v>1049</v>
      </c>
      <c r="B180" s="116" t="s">
        <v>1050</v>
      </c>
      <c r="C180" s="116" t="s">
        <v>1051</v>
      </c>
      <c r="D180" s="116"/>
      <c r="E180" s="117" t="s">
        <v>195</v>
      </c>
      <c r="F180" s="118" t="s">
        <v>166</v>
      </c>
      <c r="G180" s="116" t="s">
        <v>923</v>
      </c>
      <c r="H180" s="119"/>
      <c r="I180" s="118"/>
      <c r="J180" s="41" t="s">
        <v>110</v>
      </c>
      <c r="K180" s="41">
        <v>1</v>
      </c>
      <c r="L180" s="41" t="s">
        <v>110</v>
      </c>
      <c r="M180" s="41">
        <v>1</v>
      </c>
      <c r="N180" s="39" t="s">
        <v>115</v>
      </c>
      <c r="O180" s="39">
        <v>1</v>
      </c>
      <c r="P180" s="5" t="s">
        <v>111</v>
      </c>
      <c r="Q180" s="41"/>
      <c r="R180" s="5" t="s">
        <v>112</v>
      </c>
      <c r="S180" s="41">
        <v>3</v>
      </c>
      <c r="T180" s="41" t="s">
        <v>1052</v>
      </c>
      <c r="U180" s="41"/>
      <c r="V180" s="41"/>
      <c r="W180" s="174">
        <v>45992</v>
      </c>
      <c r="X180" s="174">
        <v>45992</v>
      </c>
      <c r="Y180" s="41"/>
      <c r="Z180" s="42" t="s">
        <v>817</v>
      </c>
      <c r="AA180" s="37" t="s">
        <v>1053</v>
      </c>
      <c r="AB180" s="42" t="s">
        <v>118</v>
      </c>
      <c r="AC180" s="42"/>
      <c r="AD180" s="51"/>
      <c r="AE180" s="51"/>
      <c r="AF180" s="12">
        <f t="shared" si="2"/>
        <v>82</v>
      </c>
      <c r="AG180" s="7">
        <v>80</v>
      </c>
      <c r="AH180" s="7" t="s">
        <v>1054</v>
      </c>
      <c r="AI180" s="7">
        <v>80</v>
      </c>
      <c r="AJ180" s="7" t="s">
        <v>927</v>
      </c>
      <c r="AK180" s="7">
        <v>80</v>
      </c>
      <c r="AL180" s="7" t="s">
        <v>928</v>
      </c>
      <c r="AM180" s="7">
        <v>100</v>
      </c>
      <c r="AN180" s="7" t="s">
        <v>929</v>
      </c>
      <c r="AO180" s="63">
        <v>5.8</v>
      </c>
      <c r="AP180" s="58">
        <v>1600</v>
      </c>
      <c r="AQ180" s="58">
        <v>200</v>
      </c>
      <c r="AR180" s="58">
        <v>200</v>
      </c>
      <c r="AS180" s="30">
        <v>6960</v>
      </c>
      <c r="AT180" s="30">
        <v>9280</v>
      </c>
      <c r="AU180" s="30">
        <v>16240</v>
      </c>
      <c r="AV180" s="197">
        <v>6960</v>
      </c>
      <c r="AW180" s="197">
        <v>9280</v>
      </c>
      <c r="AX180" s="197">
        <v>16240</v>
      </c>
      <c r="AY180" s="203"/>
      <c r="AZ180" s="203"/>
      <c r="BA180" s="203">
        <v>0</v>
      </c>
      <c r="BB180" s="41"/>
      <c r="BC180" s="191"/>
      <c r="BD180" s="190">
        <v>3</v>
      </c>
      <c r="BE180" s="30"/>
      <c r="BF180" s="186"/>
      <c r="BG180" s="183"/>
      <c r="BH180" s="183"/>
    </row>
    <row r="181" spans="1:60" ht="30" customHeight="1">
      <c r="A181" s="41" t="s">
        <v>290</v>
      </c>
      <c r="B181" s="116" t="s">
        <v>1055</v>
      </c>
      <c r="C181" s="116" t="s">
        <v>1056</v>
      </c>
      <c r="D181" s="116"/>
      <c r="E181" s="117" t="s">
        <v>195</v>
      </c>
      <c r="F181" s="118" t="s">
        <v>340</v>
      </c>
      <c r="G181" s="116" t="s">
        <v>1057</v>
      </c>
      <c r="H181" s="119"/>
      <c r="I181" s="118"/>
      <c r="J181" s="41" t="s">
        <v>110</v>
      </c>
      <c r="K181" s="41">
        <v>1</v>
      </c>
      <c r="L181" s="41" t="s">
        <v>110</v>
      </c>
      <c r="M181" s="41">
        <v>1</v>
      </c>
      <c r="N181" s="39" t="s">
        <v>115</v>
      </c>
      <c r="O181" s="39">
        <v>1</v>
      </c>
      <c r="P181" s="5" t="s">
        <v>111</v>
      </c>
      <c r="Q181" s="41"/>
      <c r="R181" s="5" t="s">
        <v>112</v>
      </c>
      <c r="S181" s="41">
        <v>4</v>
      </c>
      <c r="T181" s="41" t="s">
        <v>295</v>
      </c>
      <c r="U181" s="41"/>
      <c r="V181" s="41" t="s">
        <v>115</v>
      </c>
      <c r="W181" s="174">
        <v>45992</v>
      </c>
      <c r="X181" s="174">
        <v>45992</v>
      </c>
      <c r="Y181" s="41"/>
      <c r="Z181" s="42" t="s">
        <v>141</v>
      </c>
      <c r="AA181" s="37"/>
      <c r="AB181" s="42" t="s">
        <v>118</v>
      </c>
      <c r="AC181" s="42"/>
      <c r="AD181" s="51"/>
      <c r="AE181" s="51"/>
      <c r="AF181" s="12">
        <f t="shared" si="2"/>
        <v>82</v>
      </c>
      <c r="AG181" s="7">
        <v>80</v>
      </c>
      <c r="AH181" s="7"/>
      <c r="AI181" s="7">
        <v>80</v>
      </c>
      <c r="AJ181" s="7" t="s">
        <v>1058</v>
      </c>
      <c r="AK181" s="7">
        <v>80</v>
      </c>
      <c r="AL181" s="7"/>
      <c r="AM181" s="7">
        <v>100</v>
      </c>
      <c r="AN181" s="7" t="s">
        <v>1059</v>
      </c>
      <c r="AO181" s="63">
        <v>5.8</v>
      </c>
      <c r="AP181" s="58">
        <v>800</v>
      </c>
      <c r="AQ181" s="58">
        <v>280</v>
      </c>
      <c r="AR181" s="58">
        <v>280</v>
      </c>
      <c r="AS181" s="30">
        <v>9744</v>
      </c>
      <c r="AT181" s="30">
        <v>4640</v>
      </c>
      <c r="AU181" s="30">
        <v>14384</v>
      </c>
      <c r="AV181" s="197">
        <v>9744</v>
      </c>
      <c r="AW181" s="197">
        <v>4640</v>
      </c>
      <c r="AX181" s="197">
        <v>14384</v>
      </c>
      <c r="AY181" s="203"/>
      <c r="AZ181" s="203"/>
      <c r="BA181" s="203">
        <v>0</v>
      </c>
      <c r="BB181" s="41"/>
      <c r="BC181" s="191"/>
      <c r="BD181" s="190">
        <v>2</v>
      </c>
      <c r="BE181" s="30"/>
      <c r="BF181" s="186"/>
      <c r="BG181" s="183"/>
      <c r="BH181" s="183"/>
    </row>
    <row r="182" spans="1:60" ht="30" hidden="1" customHeight="1">
      <c r="A182" s="41" t="s">
        <v>248</v>
      </c>
      <c r="B182" s="116" t="s">
        <v>1060</v>
      </c>
      <c r="C182" s="116" t="s">
        <v>1061</v>
      </c>
      <c r="D182" s="116"/>
      <c r="E182" s="117" t="s">
        <v>339</v>
      </c>
      <c r="F182" s="117" t="s">
        <v>340</v>
      </c>
      <c r="G182" s="116"/>
      <c r="H182" s="119"/>
      <c r="I182" s="118"/>
      <c r="J182" s="41" t="s">
        <v>178</v>
      </c>
      <c r="K182" s="41">
        <v>1</v>
      </c>
      <c r="L182" s="41" t="s">
        <v>178</v>
      </c>
      <c r="M182" s="41">
        <v>1</v>
      </c>
      <c r="N182" s="39"/>
      <c r="O182" s="39"/>
      <c r="P182" s="5" t="s">
        <v>179</v>
      </c>
      <c r="Q182" s="41"/>
      <c r="R182" s="41" t="s">
        <v>112</v>
      </c>
      <c r="S182" s="41">
        <v>3</v>
      </c>
      <c r="T182" s="41" t="s">
        <v>924</v>
      </c>
      <c r="U182" s="41"/>
      <c r="V182" s="41" t="s">
        <v>115</v>
      </c>
      <c r="W182" s="174"/>
      <c r="X182" s="174"/>
      <c r="Y182" s="41"/>
      <c r="Z182" s="42" t="s">
        <v>141</v>
      </c>
      <c r="AA182" s="37" t="s">
        <v>1062</v>
      </c>
      <c r="AB182" s="42" t="s">
        <v>118</v>
      </c>
      <c r="AC182" s="42" t="s">
        <v>527</v>
      </c>
      <c r="AD182" s="42"/>
      <c r="AE182" s="42"/>
      <c r="AF182" s="12">
        <f t="shared" si="2"/>
        <v>56</v>
      </c>
      <c r="AG182" s="7">
        <v>40</v>
      </c>
      <c r="AH182" s="7"/>
      <c r="AI182" s="7">
        <v>80</v>
      </c>
      <c r="AJ182" s="7" t="s">
        <v>1063</v>
      </c>
      <c r="AK182" s="7">
        <v>40</v>
      </c>
      <c r="AL182" s="7" t="s">
        <v>1064</v>
      </c>
      <c r="AM182" s="7">
        <v>80</v>
      </c>
      <c r="AN182" s="7"/>
      <c r="AO182" s="63">
        <v>5.8</v>
      </c>
      <c r="AP182" s="58">
        <v>800</v>
      </c>
      <c r="AQ182" s="58">
        <v>280</v>
      </c>
      <c r="AR182" s="58">
        <v>280</v>
      </c>
      <c r="AS182" s="30">
        <v>8120</v>
      </c>
      <c r="AT182" s="30">
        <v>4640</v>
      </c>
      <c r="AU182" s="30">
        <v>12760</v>
      </c>
      <c r="AV182" s="197">
        <v>8120</v>
      </c>
      <c r="AW182" s="197">
        <v>4640</v>
      </c>
      <c r="AX182" s="197">
        <v>12760</v>
      </c>
      <c r="AY182" s="203"/>
      <c r="AZ182" s="203"/>
      <c r="BA182" s="203">
        <v>0</v>
      </c>
      <c r="BB182" s="41" t="s">
        <v>1065</v>
      </c>
      <c r="BC182" s="191"/>
      <c r="BD182" s="189">
        <v>2</v>
      </c>
      <c r="BE182" s="30"/>
      <c r="BF182" s="186"/>
      <c r="BG182" s="183"/>
      <c r="BH182" s="183"/>
    </row>
    <row r="183" spans="1:60" ht="30" hidden="1" customHeight="1">
      <c r="A183" s="41" t="s">
        <v>1049</v>
      </c>
      <c r="B183" s="116" t="s">
        <v>1050</v>
      </c>
      <c r="C183" s="116" t="s">
        <v>1051</v>
      </c>
      <c r="D183" s="116"/>
      <c r="E183" s="117" t="s">
        <v>201</v>
      </c>
      <c r="F183" s="117" t="s">
        <v>166</v>
      </c>
      <c r="G183" s="116" t="s">
        <v>763</v>
      </c>
      <c r="H183" s="119"/>
      <c r="I183" s="118"/>
      <c r="J183" s="41" t="s">
        <v>110</v>
      </c>
      <c r="K183" s="41">
        <v>1</v>
      </c>
      <c r="L183" s="41" t="s">
        <v>110</v>
      </c>
      <c r="M183" s="41">
        <v>1</v>
      </c>
      <c r="N183" s="39"/>
      <c r="O183" s="39"/>
      <c r="P183" s="5" t="s">
        <v>111</v>
      </c>
      <c r="Q183" s="41"/>
      <c r="R183" s="5" t="s">
        <v>112</v>
      </c>
      <c r="S183" s="41">
        <v>3</v>
      </c>
      <c r="T183" s="5" t="s">
        <v>1052</v>
      </c>
      <c r="U183" s="41"/>
      <c r="V183" s="41"/>
      <c r="W183" s="174">
        <v>45992</v>
      </c>
      <c r="X183" s="174">
        <v>45992</v>
      </c>
      <c r="Y183" s="41"/>
      <c r="Z183" s="42" t="s">
        <v>817</v>
      </c>
      <c r="AA183" s="37" t="s">
        <v>1053</v>
      </c>
      <c r="AB183" s="42" t="s">
        <v>118</v>
      </c>
      <c r="AC183" s="42"/>
      <c r="AD183" s="51"/>
      <c r="AE183" s="51"/>
      <c r="AF183" s="12">
        <f t="shared" si="2"/>
        <v>82</v>
      </c>
      <c r="AG183" s="7">
        <v>80</v>
      </c>
      <c r="AH183" s="7" t="s">
        <v>1054</v>
      </c>
      <c r="AI183" s="7">
        <v>80</v>
      </c>
      <c r="AJ183" s="7" t="s">
        <v>927</v>
      </c>
      <c r="AK183" s="7">
        <v>80</v>
      </c>
      <c r="AL183" s="7" t="s">
        <v>928</v>
      </c>
      <c r="AM183" s="7">
        <v>100</v>
      </c>
      <c r="AN183" s="7" t="s">
        <v>929</v>
      </c>
      <c r="AO183" s="63">
        <v>5.8</v>
      </c>
      <c r="AP183" s="58">
        <v>1600</v>
      </c>
      <c r="AQ183" s="58">
        <v>220</v>
      </c>
      <c r="AR183" s="58">
        <v>220</v>
      </c>
      <c r="AS183" s="30">
        <v>7656</v>
      </c>
      <c r="AT183" s="30">
        <v>9280</v>
      </c>
      <c r="AU183" s="30">
        <v>16936</v>
      </c>
      <c r="AV183" s="197">
        <v>7656</v>
      </c>
      <c r="AW183" s="197">
        <v>9280</v>
      </c>
      <c r="AX183" s="197">
        <v>16936</v>
      </c>
      <c r="AY183" s="203"/>
      <c r="AZ183" s="203"/>
      <c r="BA183" s="203">
        <v>0</v>
      </c>
      <c r="BB183" s="41"/>
      <c r="BC183" s="191"/>
      <c r="BD183" s="190">
        <v>3</v>
      </c>
      <c r="BE183" s="30"/>
      <c r="BF183" s="186"/>
      <c r="BG183" s="183"/>
      <c r="BH183" s="183"/>
    </row>
    <row r="184" spans="1:60" ht="30" hidden="1" customHeight="1">
      <c r="A184" s="41" t="s">
        <v>871</v>
      </c>
      <c r="B184" s="116" t="s">
        <v>1066</v>
      </c>
      <c r="C184" s="116" t="s">
        <v>323</v>
      </c>
      <c r="D184" s="116"/>
      <c r="E184" s="117" t="s">
        <v>216</v>
      </c>
      <c r="F184" s="118" t="s">
        <v>217</v>
      </c>
      <c r="G184" s="116" t="s">
        <v>1067</v>
      </c>
      <c r="H184" s="119"/>
      <c r="I184" s="118"/>
      <c r="J184" s="41" t="s">
        <v>110</v>
      </c>
      <c r="K184" s="41">
        <v>3</v>
      </c>
      <c r="L184" s="41" t="s">
        <v>110</v>
      </c>
      <c r="M184" s="41">
        <v>3</v>
      </c>
      <c r="N184" s="39"/>
      <c r="O184" s="39"/>
      <c r="P184" s="5" t="s">
        <v>111</v>
      </c>
      <c r="Q184" s="41"/>
      <c r="R184" s="41" t="s">
        <v>112</v>
      </c>
      <c r="S184" s="41">
        <v>5</v>
      </c>
      <c r="T184" s="41" t="s">
        <v>873</v>
      </c>
      <c r="U184" s="41"/>
      <c r="V184" s="41"/>
      <c r="W184" s="174">
        <v>45992</v>
      </c>
      <c r="X184" s="174">
        <v>45992</v>
      </c>
      <c r="Y184" s="41"/>
      <c r="Z184" s="42" t="s">
        <v>1068</v>
      </c>
      <c r="AA184" s="42" t="s">
        <v>1069</v>
      </c>
      <c r="AB184" s="42" t="s">
        <v>118</v>
      </c>
      <c r="AC184" s="42" t="s">
        <v>1070</v>
      </c>
      <c r="AD184" s="42"/>
      <c r="AE184" s="42"/>
      <c r="AF184" s="12">
        <f t="shared" si="2"/>
        <v>80</v>
      </c>
      <c r="AG184" s="7">
        <v>100</v>
      </c>
      <c r="AH184" s="7"/>
      <c r="AI184" s="7">
        <v>40</v>
      </c>
      <c r="AJ184" s="7"/>
      <c r="AK184" s="7">
        <v>100</v>
      </c>
      <c r="AL184" s="7"/>
      <c r="AM184" s="7">
        <v>80</v>
      </c>
      <c r="AN184" s="7"/>
      <c r="AO184" s="63">
        <v>5.8</v>
      </c>
      <c r="AP184" s="58">
        <v>1600</v>
      </c>
      <c r="AQ184" s="58">
        <v>320</v>
      </c>
      <c r="AR184" s="58">
        <v>320</v>
      </c>
      <c r="AS184" s="30">
        <v>44544</v>
      </c>
      <c r="AT184" s="30">
        <v>27840</v>
      </c>
      <c r="AU184" s="30">
        <v>72384</v>
      </c>
      <c r="AV184" s="197">
        <v>44544</v>
      </c>
      <c r="AW184" s="197">
        <v>27840</v>
      </c>
      <c r="AX184" s="197">
        <v>72384</v>
      </c>
      <c r="AY184" s="203"/>
      <c r="AZ184" s="203"/>
      <c r="BA184" s="203">
        <v>0</v>
      </c>
      <c r="BB184" s="41" t="s">
        <v>1071</v>
      </c>
      <c r="BC184" s="191"/>
      <c r="BD184" s="189">
        <v>3</v>
      </c>
      <c r="BE184" s="30" t="s">
        <v>1072</v>
      </c>
      <c r="BF184" s="186" t="s">
        <v>1073</v>
      </c>
      <c r="BG184" s="183"/>
      <c r="BH184" s="183"/>
    </row>
    <row r="185" spans="1:60" ht="30" hidden="1" customHeight="1">
      <c r="A185" s="41" t="s">
        <v>122</v>
      </c>
      <c r="B185" s="116" t="s">
        <v>1074</v>
      </c>
      <c r="C185" s="116"/>
      <c r="D185" s="116"/>
      <c r="E185" s="117" t="s">
        <v>165</v>
      </c>
      <c r="F185" s="118" t="s">
        <v>166</v>
      </c>
      <c r="G185" s="116" t="s">
        <v>1075</v>
      </c>
      <c r="H185" s="119"/>
      <c r="I185" s="118"/>
      <c r="J185" s="41" t="s">
        <v>110</v>
      </c>
      <c r="K185" s="41">
        <v>1</v>
      </c>
      <c r="L185" s="41" t="s">
        <v>110</v>
      </c>
      <c r="M185" s="41">
        <v>1</v>
      </c>
      <c r="N185" s="39"/>
      <c r="O185" s="39"/>
      <c r="P185" s="5" t="s">
        <v>111</v>
      </c>
      <c r="Q185" s="41"/>
      <c r="R185" s="41" t="s">
        <v>112</v>
      </c>
      <c r="S185" s="41">
        <v>5</v>
      </c>
      <c r="T185" s="41" t="s">
        <v>285</v>
      </c>
      <c r="U185" s="41"/>
      <c r="V185" s="41"/>
      <c r="W185" s="174">
        <v>45992</v>
      </c>
      <c r="X185" s="174">
        <v>45992</v>
      </c>
      <c r="Y185" s="41"/>
      <c r="Z185" s="42" t="s">
        <v>116</v>
      </c>
      <c r="AA185" s="42" t="s">
        <v>1076</v>
      </c>
      <c r="AB185" s="42" t="s">
        <v>118</v>
      </c>
      <c r="AC185" s="42" t="s">
        <v>1077</v>
      </c>
      <c r="AD185" s="42"/>
      <c r="AE185" s="42"/>
      <c r="AF185" s="12">
        <f t="shared" si="2"/>
        <v>80</v>
      </c>
      <c r="AG185" s="7">
        <v>80</v>
      </c>
      <c r="AH185" s="7"/>
      <c r="AI185" s="7">
        <v>80</v>
      </c>
      <c r="AJ185" s="7" t="s">
        <v>172</v>
      </c>
      <c r="AK185" s="7">
        <v>80</v>
      </c>
      <c r="AL185" s="7"/>
      <c r="AM185" s="7">
        <v>80</v>
      </c>
      <c r="AN185" s="7"/>
      <c r="AO185" s="63">
        <v>5.8</v>
      </c>
      <c r="AP185" s="58">
        <v>1600</v>
      </c>
      <c r="AQ185" s="58">
        <v>330</v>
      </c>
      <c r="AR185" s="58">
        <v>330</v>
      </c>
      <c r="AS185" s="30">
        <v>15312</v>
      </c>
      <c r="AT185" s="30">
        <v>9280</v>
      </c>
      <c r="AU185" s="30">
        <v>24592</v>
      </c>
      <c r="AV185" s="197">
        <v>15312</v>
      </c>
      <c r="AW185" s="197">
        <v>9280</v>
      </c>
      <c r="AX185" s="197">
        <v>24592</v>
      </c>
      <c r="AY185" s="203"/>
      <c r="AZ185" s="203"/>
      <c r="BA185" s="203">
        <v>0</v>
      </c>
      <c r="BB185" s="41" t="s">
        <v>1078</v>
      </c>
      <c r="BC185" s="191"/>
      <c r="BD185" s="189">
        <v>3</v>
      </c>
      <c r="BE185" s="30"/>
      <c r="BF185" s="186"/>
      <c r="BG185" s="183"/>
      <c r="BH185" s="183"/>
    </row>
    <row r="186" spans="1:60" ht="30" hidden="1" customHeight="1">
      <c r="A186" s="41" t="s">
        <v>122</v>
      </c>
      <c r="B186" s="116" t="s">
        <v>1079</v>
      </c>
      <c r="C186" s="116"/>
      <c r="D186" s="116"/>
      <c r="E186" s="117" t="s">
        <v>216</v>
      </c>
      <c r="F186" s="117" t="s">
        <v>217</v>
      </c>
      <c r="G186" s="116"/>
      <c r="H186" s="119"/>
      <c r="I186" s="118"/>
      <c r="J186" s="41" t="s">
        <v>110</v>
      </c>
      <c r="K186" s="41">
        <v>1</v>
      </c>
      <c r="L186" s="41" t="s">
        <v>110</v>
      </c>
      <c r="M186" s="41">
        <v>1</v>
      </c>
      <c r="N186" s="39" t="s">
        <v>115</v>
      </c>
      <c r="O186" s="39">
        <v>1</v>
      </c>
      <c r="P186" s="5" t="s">
        <v>111</v>
      </c>
      <c r="Q186" s="41"/>
      <c r="R186" s="41" t="s">
        <v>112</v>
      </c>
      <c r="S186" s="41">
        <v>4</v>
      </c>
      <c r="T186" s="5" t="s">
        <v>218</v>
      </c>
      <c r="U186" s="41"/>
      <c r="V186" s="41"/>
      <c r="W186" s="174">
        <v>45992</v>
      </c>
      <c r="X186" s="174">
        <v>45992</v>
      </c>
      <c r="Y186" s="41"/>
      <c r="Z186" s="42" t="s">
        <v>116</v>
      </c>
      <c r="AA186" s="42" t="s">
        <v>1080</v>
      </c>
      <c r="AB186" s="42" t="s">
        <v>118</v>
      </c>
      <c r="AC186" s="42"/>
      <c r="AD186" s="42"/>
      <c r="AE186" s="42"/>
      <c r="AF186" s="12">
        <f t="shared" si="2"/>
        <v>80</v>
      </c>
      <c r="AG186" s="7">
        <v>80</v>
      </c>
      <c r="AH186" s="7"/>
      <c r="AI186" s="7">
        <v>80</v>
      </c>
      <c r="AJ186" s="7" t="s">
        <v>1081</v>
      </c>
      <c r="AK186" s="7">
        <v>80</v>
      </c>
      <c r="AL186" s="7"/>
      <c r="AM186" s="7">
        <v>80</v>
      </c>
      <c r="AN186" s="7"/>
      <c r="AO186" s="63">
        <v>5.8</v>
      </c>
      <c r="AP186" s="58">
        <v>1600</v>
      </c>
      <c r="AQ186" s="58">
        <v>330</v>
      </c>
      <c r="AR186" s="58">
        <v>330</v>
      </c>
      <c r="AS186" s="30">
        <v>13398</v>
      </c>
      <c r="AT186" s="30">
        <v>9280</v>
      </c>
      <c r="AU186" s="30">
        <v>22678</v>
      </c>
      <c r="AV186" s="197">
        <v>13398</v>
      </c>
      <c r="AW186" s="197">
        <v>9280</v>
      </c>
      <c r="AX186" s="197">
        <v>22678</v>
      </c>
      <c r="AY186" s="203"/>
      <c r="AZ186" s="203"/>
      <c r="BA186" s="203">
        <v>0</v>
      </c>
      <c r="BB186" s="41" t="s">
        <v>1082</v>
      </c>
      <c r="BC186" s="191"/>
      <c r="BD186" s="189">
        <v>3</v>
      </c>
      <c r="BE186" s="30" t="s">
        <v>1083</v>
      </c>
      <c r="BF186" s="186"/>
      <c r="BG186" s="183"/>
      <c r="BH186" s="183"/>
    </row>
    <row r="187" spans="1:60" ht="30" hidden="1" customHeight="1">
      <c r="A187" s="41" t="s">
        <v>122</v>
      </c>
      <c r="B187" s="116" t="s">
        <v>1084</v>
      </c>
      <c r="C187" s="116" t="s">
        <v>1085</v>
      </c>
      <c r="D187" s="116"/>
      <c r="E187" s="117" t="s">
        <v>216</v>
      </c>
      <c r="F187" s="118" t="s">
        <v>217</v>
      </c>
      <c r="G187" s="116"/>
      <c r="H187" s="119"/>
      <c r="I187" s="118"/>
      <c r="J187" s="41" t="s">
        <v>110</v>
      </c>
      <c r="K187" s="41">
        <v>1</v>
      </c>
      <c r="L187" s="41" t="s">
        <v>110</v>
      </c>
      <c r="M187" s="41">
        <v>1</v>
      </c>
      <c r="N187" s="39" t="s">
        <v>115</v>
      </c>
      <c r="O187" s="39">
        <v>1</v>
      </c>
      <c r="P187" s="5" t="s">
        <v>111</v>
      </c>
      <c r="Q187" s="41"/>
      <c r="R187" s="41" t="s">
        <v>112</v>
      </c>
      <c r="S187" s="41">
        <v>5</v>
      </c>
      <c r="T187" s="5" t="s">
        <v>218</v>
      </c>
      <c r="U187" s="41"/>
      <c r="V187" s="41"/>
      <c r="W187" s="174">
        <v>45992</v>
      </c>
      <c r="X187" s="174">
        <v>45992</v>
      </c>
      <c r="Y187" s="41"/>
      <c r="Z187" s="42" t="s">
        <v>220</v>
      </c>
      <c r="AA187" s="42" t="s">
        <v>1080</v>
      </c>
      <c r="AB187" s="42" t="s">
        <v>118</v>
      </c>
      <c r="AC187" s="42"/>
      <c r="AD187" s="42"/>
      <c r="AE187" s="42"/>
      <c r="AF187" s="12">
        <f t="shared" si="2"/>
        <v>80</v>
      </c>
      <c r="AG187" s="7">
        <v>80</v>
      </c>
      <c r="AH187" s="7"/>
      <c r="AI187" s="7">
        <v>80</v>
      </c>
      <c r="AJ187" s="7" t="s">
        <v>1081</v>
      </c>
      <c r="AK187" s="7">
        <v>80</v>
      </c>
      <c r="AL187" s="7"/>
      <c r="AM187" s="7">
        <v>80</v>
      </c>
      <c r="AN187" s="7"/>
      <c r="AO187" s="63">
        <v>5.8</v>
      </c>
      <c r="AP187" s="58">
        <v>1600</v>
      </c>
      <c r="AQ187" s="58">
        <v>330</v>
      </c>
      <c r="AR187" s="58">
        <v>330</v>
      </c>
      <c r="AS187" s="30">
        <v>15312</v>
      </c>
      <c r="AT187" s="30">
        <v>9280</v>
      </c>
      <c r="AU187" s="30">
        <v>24592</v>
      </c>
      <c r="AV187" s="197">
        <v>15312</v>
      </c>
      <c r="AW187" s="197">
        <v>9280</v>
      </c>
      <c r="AX187" s="197">
        <v>24592</v>
      </c>
      <c r="AY187" s="203"/>
      <c r="AZ187" s="203"/>
      <c r="BA187" s="203">
        <v>0</v>
      </c>
      <c r="BB187" s="41" t="s">
        <v>1082</v>
      </c>
      <c r="BC187" s="191"/>
      <c r="BD187" s="189">
        <v>3</v>
      </c>
      <c r="BE187" s="30" t="s">
        <v>1083</v>
      </c>
      <c r="BF187" s="186"/>
      <c r="BG187" s="183"/>
      <c r="BH187" s="183"/>
    </row>
    <row r="188" spans="1:60" ht="30" hidden="1" customHeight="1">
      <c r="A188" s="41" t="s">
        <v>122</v>
      </c>
      <c r="B188" s="116" t="s">
        <v>1086</v>
      </c>
      <c r="C188" s="116">
        <v>2025</v>
      </c>
      <c r="D188" s="116"/>
      <c r="E188" s="117" t="s">
        <v>126</v>
      </c>
      <c r="F188" s="118" t="s">
        <v>152</v>
      </c>
      <c r="G188" s="116" t="s">
        <v>1087</v>
      </c>
      <c r="H188" s="119"/>
      <c r="I188" s="118"/>
      <c r="J188" s="41" t="s">
        <v>110</v>
      </c>
      <c r="K188" s="41">
        <v>1</v>
      </c>
      <c r="L188" s="41" t="s">
        <v>110</v>
      </c>
      <c r="M188" s="41">
        <v>1</v>
      </c>
      <c r="N188" s="39" t="s">
        <v>115</v>
      </c>
      <c r="O188" s="39">
        <v>1</v>
      </c>
      <c r="P188" s="5" t="s">
        <v>111</v>
      </c>
      <c r="Q188" s="41"/>
      <c r="R188" s="5" t="s">
        <v>112</v>
      </c>
      <c r="S188" s="41">
        <v>3</v>
      </c>
      <c r="T188" s="41" t="s">
        <v>801</v>
      </c>
      <c r="U188" s="41"/>
      <c r="V188" s="41"/>
      <c r="W188" s="174">
        <v>45992</v>
      </c>
      <c r="X188" s="174">
        <v>45992</v>
      </c>
      <c r="Y188" s="41"/>
      <c r="Z188" s="42" t="s">
        <v>116</v>
      </c>
      <c r="AA188" s="42" t="s">
        <v>1088</v>
      </c>
      <c r="AB188" s="42" t="s">
        <v>118</v>
      </c>
      <c r="AC188" s="42"/>
      <c r="AD188" s="42"/>
      <c r="AE188" s="42"/>
      <c r="AF188" s="12">
        <f t="shared" si="2"/>
        <v>80</v>
      </c>
      <c r="AG188" s="7">
        <v>80</v>
      </c>
      <c r="AH188" s="7"/>
      <c r="AI188" s="7">
        <v>80</v>
      </c>
      <c r="AJ188" s="7" t="s">
        <v>1089</v>
      </c>
      <c r="AK188" s="7">
        <v>80</v>
      </c>
      <c r="AL188" s="7" t="s">
        <v>1090</v>
      </c>
      <c r="AM188" s="7">
        <v>80</v>
      </c>
      <c r="AN188" s="7"/>
      <c r="AO188" s="63">
        <v>5.8</v>
      </c>
      <c r="AP188" s="58">
        <v>1600</v>
      </c>
      <c r="AQ188" s="58">
        <v>390</v>
      </c>
      <c r="AR188" s="58">
        <v>390</v>
      </c>
      <c r="AS188" s="30">
        <v>13572</v>
      </c>
      <c r="AT188" s="30">
        <v>9280</v>
      </c>
      <c r="AU188" s="30">
        <v>22852</v>
      </c>
      <c r="AV188" s="197">
        <v>13572</v>
      </c>
      <c r="AW188" s="197">
        <v>9280</v>
      </c>
      <c r="AX188" s="197">
        <v>22852</v>
      </c>
      <c r="AY188" s="203"/>
      <c r="AZ188" s="203"/>
      <c r="BA188" s="203">
        <v>0</v>
      </c>
      <c r="BB188" s="41" t="s">
        <v>1091</v>
      </c>
      <c r="BC188" s="191"/>
      <c r="BD188" s="189">
        <v>3</v>
      </c>
      <c r="BE188" s="30"/>
      <c r="BF188" s="186"/>
      <c r="BG188" s="183"/>
      <c r="BH188" s="183"/>
    </row>
    <row r="189" spans="1:60" ht="30" hidden="1" customHeight="1">
      <c r="A189" s="41" t="s">
        <v>122</v>
      </c>
      <c r="B189" s="116" t="s">
        <v>1092</v>
      </c>
      <c r="C189" s="116" t="s">
        <v>352</v>
      </c>
      <c r="D189" s="116"/>
      <c r="E189" s="117" t="s">
        <v>274</v>
      </c>
      <c r="F189" s="117" t="s">
        <v>275</v>
      </c>
      <c r="G189" s="116"/>
      <c r="H189" s="119"/>
      <c r="I189" s="118"/>
      <c r="J189" s="41" t="s">
        <v>110</v>
      </c>
      <c r="K189" s="41">
        <v>2</v>
      </c>
      <c r="L189" s="41" t="s">
        <v>110</v>
      </c>
      <c r="M189" s="41">
        <v>2</v>
      </c>
      <c r="N189" s="39" t="s">
        <v>115</v>
      </c>
      <c r="O189" s="39">
        <v>2</v>
      </c>
      <c r="P189" s="5" t="s">
        <v>111</v>
      </c>
      <c r="Q189" s="41"/>
      <c r="R189" s="41" t="s">
        <v>112</v>
      </c>
      <c r="S189" s="41">
        <v>5</v>
      </c>
      <c r="T189" s="41" t="s">
        <v>285</v>
      </c>
      <c r="U189" s="41"/>
      <c r="V189" s="41"/>
      <c r="W189" s="174">
        <v>45992</v>
      </c>
      <c r="X189" s="174">
        <v>45992</v>
      </c>
      <c r="Y189" s="41"/>
      <c r="Z189" s="42" t="s">
        <v>220</v>
      </c>
      <c r="AA189" s="37" t="s">
        <v>1093</v>
      </c>
      <c r="AB189" s="42" t="s">
        <v>118</v>
      </c>
      <c r="AC189" s="42" t="s">
        <v>356</v>
      </c>
      <c r="AD189" s="51"/>
      <c r="AE189" s="51"/>
      <c r="AF189" s="12">
        <f t="shared" si="2"/>
        <v>80</v>
      </c>
      <c r="AG189" s="7">
        <v>80</v>
      </c>
      <c r="AH189" s="7" t="s">
        <v>357</v>
      </c>
      <c r="AI189" s="7">
        <v>80</v>
      </c>
      <c r="AJ189" s="7" t="s">
        <v>358</v>
      </c>
      <c r="AK189" s="7">
        <v>80</v>
      </c>
      <c r="AL189" s="7"/>
      <c r="AM189" s="7">
        <v>80</v>
      </c>
      <c r="AN189" s="7"/>
      <c r="AO189" s="63">
        <v>5.8</v>
      </c>
      <c r="AP189" s="58">
        <v>1600</v>
      </c>
      <c r="AQ189" s="58">
        <v>330</v>
      </c>
      <c r="AR189" s="58">
        <v>330</v>
      </c>
      <c r="AS189" s="30">
        <v>30624</v>
      </c>
      <c r="AT189" s="30">
        <v>18560</v>
      </c>
      <c r="AU189" s="30">
        <v>49184</v>
      </c>
      <c r="AV189" s="197">
        <v>30624</v>
      </c>
      <c r="AW189" s="197">
        <v>18560</v>
      </c>
      <c r="AX189" s="197">
        <v>49184</v>
      </c>
      <c r="AY189" s="203"/>
      <c r="AZ189" s="203"/>
      <c r="BA189" s="203">
        <v>0</v>
      </c>
      <c r="BB189" s="41" t="s">
        <v>1094</v>
      </c>
      <c r="BC189" s="191"/>
      <c r="BD189" s="190">
        <v>3</v>
      </c>
      <c r="BE189" s="30"/>
      <c r="BF189" s="186"/>
      <c r="BG189" s="183"/>
      <c r="BH189" s="183"/>
    </row>
    <row r="190" spans="1:60" ht="30" hidden="1" customHeight="1">
      <c r="A190" s="41" t="s">
        <v>122</v>
      </c>
      <c r="B190" s="116" t="s">
        <v>697</v>
      </c>
      <c r="C190" s="116" t="s">
        <v>1095</v>
      </c>
      <c r="D190" s="116"/>
      <c r="E190" s="117" t="s">
        <v>126</v>
      </c>
      <c r="F190" s="118" t="s">
        <v>127</v>
      </c>
      <c r="G190" s="116" t="s">
        <v>1096</v>
      </c>
      <c r="H190" s="119"/>
      <c r="I190" s="118"/>
      <c r="J190" s="41" t="s">
        <v>110</v>
      </c>
      <c r="K190" s="41">
        <v>1</v>
      </c>
      <c r="L190" s="41" t="s">
        <v>110</v>
      </c>
      <c r="M190" s="41">
        <v>1</v>
      </c>
      <c r="N190" s="39"/>
      <c r="O190" s="39"/>
      <c r="P190" s="5" t="s">
        <v>111</v>
      </c>
      <c r="Q190" s="41"/>
      <c r="R190" s="5" t="s">
        <v>112</v>
      </c>
      <c r="S190" s="41">
        <v>5</v>
      </c>
      <c r="T190" s="41" t="s">
        <v>218</v>
      </c>
      <c r="U190" s="41"/>
      <c r="V190" s="41"/>
      <c r="W190" s="174">
        <v>45992</v>
      </c>
      <c r="X190" s="174">
        <v>45992</v>
      </c>
      <c r="Y190" s="41"/>
      <c r="Z190" s="42" t="s">
        <v>116</v>
      </c>
      <c r="AA190" s="42" t="s">
        <v>1097</v>
      </c>
      <c r="AB190" s="42" t="s">
        <v>118</v>
      </c>
      <c r="AC190" s="42" t="s">
        <v>1098</v>
      </c>
      <c r="AD190" s="42" t="s">
        <v>1099</v>
      </c>
      <c r="AE190" s="42" t="s">
        <v>132</v>
      </c>
      <c r="AF190" s="12">
        <f t="shared" si="2"/>
        <v>80</v>
      </c>
      <c r="AG190" s="7">
        <v>80</v>
      </c>
      <c r="AH190" s="7"/>
      <c r="AI190" s="7">
        <v>80</v>
      </c>
      <c r="AJ190" s="7"/>
      <c r="AK190" s="7">
        <v>80</v>
      </c>
      <c r="AL190" s="7"/>
      <c r="AM190" s="7">
        <v>80</v>
      </c>
      <c r="AN190" s="7"/>
      <c r="AO190" s="63">
        <v>5.8</v>
      </c>
      <c r="AP190" s="58">
        <v>1600</v>
      </c>
      <c r="AQ190" s="58">
        <v>320</v>
      </c>
      <c r="AR190" s="58">
        <v>320</v>
      </c>
      <c r="AS190" s="30">
        <v>14848</v>
      </c>
      <c r="AT190" s="30">
        <v>9280</v>
      </c>
      <c r="AU190" s="30">
        <v>24128</v>
      </c>
      <c r="AV190" s="197">
        <v>14848</v>
      </c>
      <c r="AW190" s="197">
        <v>9280</v>
      </c>
      <c r="AX190" s="197">
        <v>24128</v>
      </c>
      <c r="AY190" s="203"/>
      <c r="AZ190" s="203"/>
      <c r="BA190" s="203">
        <v>0</v>
      </c>
      <c r="BB190" s="41" t="s">
        <v>1100</v>
      </c>
      <c r="BC190" s="191"/>
      <c r="BD190" s="189">
        <v>3</v>
      </c>
      <c r="BE190" s="30"/>
      <c r="BF190" s="186"/>
      <c r="BG190" s="183"/>
      <c r="BH190" s="183"/>
    </row>
    <row r="191" spans="1:60" ht="30" hidden="1" customHeight="1">
      <c r="A191" s="41" t="s">
        <v>1101</v>
      </c>
      <c r="B191" s="116" t="s">
        <v>1102</v>
      </c>
      <c r="C191" s="116" t="s">
        <v>1103</v>
      </c>
      <c r="D191" s="116"/>
      <c r="E191" s="117" t="s">
        <v>216</v>
      </c>
      <c r="F191" s="117" t="s">
        <v>217</v>
      </c>
      <c r="G191" s="116"/>
      <c r="H191" s="119"/>
      <c r="I191" s="118"/>
      <c r="J191" s="41" t="s">
        <v>110</v>
      </c>
      <c r="K191" s="41">
        <v>3</v>
      </c>
      <c r="L191" s="41" t="s">
        <v>110</v>
      </c>
      <c r="M191" s="41">
        <v>2</v>
      </c>
      <c r="N191" s="39"/>
      <c r="O191" s="39"/>
      <c r="P191" s="5" t="s">
        <v>111</v>
      </c>
      <c r="Q191" s="41"/>
      <c r="R191" s="5" t="s">
        <v>112</v>
      </c>
      <c r="S191" s="41">
        <v>5</v>
      </c>
      <c r="T191" s="41" t="s">
        <v>1103</v>
      </c>
      <c r="U191" s="41"/>
      <c r="V191" s="41" t="s">
        <v>115</v>
      </c>
      <c r="W191" s="174">
        <v>45992</v>
      </c>
      <c r="X191" s="174">
        <v>45992</v>
      </c>
      <c r="Y191" s="41"/>
      <c r="Z191" s="42" t="s">
        <v>581</v>
      </c>
      <c r="AA191" s="42" t="s">
        <v>1104</v>
      </c>
      <c r="AB191" s="42" t="s">
        <v>517</v>
      </c>
      <c r="AC191" s="42" t="s">
        <v>1105</v>
      </c>
      <c r="AD191" s="42"/>
      <c r="AE191" s="42"/>
      <c r="AF191" s="12">
        <f t="shared" si="2"/>
        <v>80</v>
      </c>
      <c r="AG191" s="7">
        <v>100</v>
      </c>
      <c r="AH191" s="7"/>
      <c r="AI191" s="7">
        <v>40</v>
      </c>
      <c r="AJ191" s="7"/>
      <c r="AK191" s="7">
        <v>100</v>
      </c>
      <c r="AL191" s="7"/>
      <c r="AM191" s="7">
        <v>80</v>
      </c>
      <c r="AN191" s="7"/>
      <c r="AO191" s="63">
        <v>5.8</v>
      </c>
      <c r="AP191" s="58">
        <v>800</v>
      </c>
      <c r="AQ191" s="58">
        <v>270</v>
      </c>
      <c r="AR191" s="58">
        <v>270</v>
      </c>
      <c r="AS191" s="30">
        <v>32886</v>
      </c>
      <c r="AT191" s="30">
        <v>13920</v>
      </c>
      <c r="AU191" s="30">
        <v>46806</v>
      </c>
      <c r="AV191" s="197">
        <v>21924</v>
      </c>
      <c r="AW191" s="197">
        <v>9280</v>
      </c>
      <c r="AX191" s="197">
        <v>31204</v>
      </c>
      <c r="AY191" s="203"/>
      <c r="AZ191" s="203"/>
      <c r="BA191" s="203">
        <v>0</v>
      </c>
      <c r="BB191" s="41" t="s">
        <v>1106</v>
      </c>
      <c r="BC191" s="191"/>
      <c r="BD191" s="189">
        <v>2</v>
      </c>
      <c r="BE191" s="30" t="s">
        <v>1107</v>
      </c>
      <c r="BF191" s="186" t="s">
        <v>1073</v>
      </c>
      <c r="BG191" s="183"/>
      <c r="BH191" s="183"/>
    </row>
    <row r="192" spans="1:60" ht="30" hidden="1" customHeight="1">
      <c r="A192" s="41" t="s">
        <v>122</v>
      </c>
      <c r="B192" s="116" t="s">
        <v>1108</v>
      </c>
      <c r="C192" s="116" t="s">
        <v>678</v>
      </c>
      <c r="D192" s="116"/>
      <c r="E192" s="117" t="s">
        <v>176</v>
      </c>
      <c r="F192" s="118" t="s">
        <v>651</v>
      </c>
      <c r="G192" s="116" t="s">
        <v>1109</v>
      </c>
      <c r="H192" s="119"/>
      <c r="I192" s="118"/>
      <c r="J192" s="41" t="s">
        <v>110</v>
      </c>
      <c r="K192" s="41">
        <v>2</v>
      </c>
      <c r="L192" s="41" t="s">
        <v>110</v>
      </c>
      <c r="M192" s="41">
        <v>2</v>
      </c>
      <c r="N192" s="39" t="s">
        <v>115</v>
      </c>
      <c r="O192" s="39">
        <v>2</v>
      </c>
      <c r="P192" s="5" t="s">
        <v>111</v>
      </c>
      <c r="Q192" s="41"/>
      <c r="R192" s="5" t="s">
        <v>112</v>
      </c>
      <c r="S192" s="41">
        <v>5</v>
      </c>
      <c r="T192" s="5" t="s">
        <v>218</v>
      </c>
      <c r="U192" s="41"/>
      <c r="V192" s="41"/>
      <c r="W192" s="174">
        <v>45992</v>
      </c>
      <c r="X192" s="174">
        <v>45992</v>
      </c>
      <c r="Y192" s="41"/>
      <c r="Z192" s="42" t="s">
        <v>220</v>
      </c>
      <c r="AA192" s="42" t="s">
        <v>1110</v>
      </c>
      <c r="AB192" s="42" t="s">
        <v>118</v>
      </c>
      <c r="AC192" s="42" t="s">
        <v>683</v>
      </c>
      <c r="AD192" s="42"/>
      <c r="AE192" s="42"/>
      <c r="AF192" s="12">
        <f t="shared" si="2"/>
        <v>80</v>
      </c>
      <c r="AG192" s="7">
        <v>80</v>
      </c>
      <c r="AH192" s="7"/>
      <c r="AI192" s="7">
        <v>80</v>
      </c>
      <c r="AJ192" s="7" t="s">
        <v>684</v>
      </c>
      <c r="AK192" s="7">
        <v>80</v>
      </c>
      <c r="AL192" s="7" t="s">
        <v>685</v>
      </c>
      <c r="AM192" s="7">
        <v>80</v>
      </c>
      <c r="AN192" s="7"/>
      <c r="AO192" s="63">
        <v>5.8</v>
      </c>
      <c r="AP192" s="58">
        <v>1600</v>
      </c>
      <c r="AQ192" s="58">
        <f>AVERAGE(330,310)</f>
        <v>320</v>
      </c>
      <c r="AR192" s="58">
        <f>AVERAGE(330,310)</f>
        <v>320</v>
      </c>
      <c r="AS192" s="30">
        <v>29696</v>
      </c>
      <c r="AT192" s="30">
        <v>18560</v>
      </c>
      <c r="AU192" s="30">
        <v>48256</v>
      </c>
      <c r="AV192" s="197">
        <v>29696</v>
      </c>
      <c r="AW192" s="197">
        <v>18560</v>
      </c>
      <c r="AX192" s="197">
        <v>48256</v>
      </c>
      <c r="AY192" s="203"/>
      <c r="AZ192" s="203"/>
      <c r="BA192" s="203">
        <v>0</v>
      </c>
      <c r="BB192" s="41" t="s">
        <v>1111</v>
      </c>
      <c r="BC192" s="191"/>
      <c r="BD192" s="189">
        <v>3</v>
      </c>
      <c r="BE192" s="30" t="s">
        <v>1112</v>
      </c>
      <c r="BF192" s="186"/>
      <c r="BG192" s="183"/>
      <c r="BH192" s="183"/>
    </row>
    <row r="193" spans="1:60" ht="30" hidden="1" customHeight="1">
      <c r="A193" s="41" t="s">
        <v>1113</v>
      </c>
      <c r="B193" s="116" t="s">
        <v>1114</v>
      </c>
      <c r="C193" s="116" t="s">
        <v>1115</v>
      </c>
      <c r="D193" s="116" t="s">
        <v>1116</v>
      </c>
      <c r="E193" s="117" t="s">
        <v>176</v>
      </c>
      <c r="F193" s="118" t="s">
        <v>152</v>
      </c>
      <c r="G193" s="116"/>
      <c r="H193" s="119"/>
      <c r="I193" s="118" t="s">
        <v>129</v>
      </c>
      <c r="J193" s="41"/>
      <c r="K193" s="41"/>
      <c r="L193" s="41" t="s">
        <v>110</v>
      </c>
      <c r="M193" s="41">
        <v>0</v>
      </c>
      <c r="N193" s="39"/>
      <c r="O193" s="39"/>
      <c r="P193" s="5" t="s">
        <v>303</v>
      </c>
      <c r="Q193" s="41">
        <v>1</v>
      </c>
      <c r="R193" s="5" t="s">
        <v>112</v>
      </c>
      <c r="S193" s="41">
        <v>2</v>
      </c>
      <c r="T193" s="41" t="s">
        <v>1117</v>
      </c>
      <c r="U193" s="41" t="s">
        <v>1118</v>
      </c>
      <c r="V193" s="41" t="s">
        <v>115</v>
      </c>
      <c r="W193" s="174">
        <v>45736</v>
      </c>
      <c r="X193" s="174">
        <v>45737</v>
      </c>
      <c r="Y193" s="41"/>
      <c r="Z193" s="42"/>
      <c r="AA193" s="37"/>
      <c r="AB193" s="42"/>
      <c r="AC193" s="42"/>
      <c r="AD193" s="51"/>
      <c r="AE193" s="51"/>
      <c r="AF193" s="12">
        <f t="shared" si="2"/>
        <v>0</v>
      </c>
      <c r="AG193" s="7"/>
      <c r="AH193" s="7"/>
      <c r="AI193" s="7"/>
      <c r="AJ193" s="7"/>
      <c r="AK193" s="7"/>
      <c r="AL193" s="7"/>
      <c r="AM193" s="7"/>
      <c r="AN193" s="7"/>
      <c r="AO193" s="63">
        <v>5.8</v>
      </c>
      <c r="AP193" s="58"/>
      <c r="AQ193" s="58"/>
      <c r="AR193" s="58"/>
      <c r="AS193" s="30"/>
      <c r="AT193" s="30"/>
      <c r="AU193" s="30">
        <v>0</v>
      </c>
      <c r="AV193" s="197"/>
      <c r="AW193" s="197"/>
      <c r="AX193" s="197"/>
      <c r="AY193" s="203"/>
      <c r="AZ193" s="203">
        <v>359.32</v>
      </c>
      <c r="BA193" s="203">
        <v>359.32</v>
      </c>
      <c r="BB193" s="41" t="s">
        <v>1119</v>
      </c>
      <c r="BC193" s="191" t="s">
        <v>1120</v>
      </c>
      <c r="BD193" s="114"/>
      <c r="BE193" s="30"/>
      <c r="BF193" s="186"/>
      <c r="BG193" s="183"/>
      <c r="BH193" s="183"/>
    </row>
    <row r="194" spans="1:60" ht="30" hidden="1" customHeight="1">
      <c r="A194" s="41" t="s">
        <v>122</v>
      </c>
      <c r="B194" s="116" t="s">
        <v>1121</v>
      </c>
      <c r="C194" s="116" t="s">
        <v>1122</v>
      </c>
      <c r="D194" s="116"/>
      <c r="E194" s="117" t="s">
        <v>402</v>
      </c>
      <c r="F194" s="117" t="s">
        <v>396</v>
      </c>
      <c r="G194" s="116" t="s">
        <v>1123</v>
      </c>
      <c r="H194" s="119" t="s">
        <v>591</v>
      </c>
      <c r="I194" s="118"/>
      <c r="J194" s="41" t="s">
        <v>110</v>
      </c>
      <c r="K194" s="41">
        <v>1</v>
      </c>
      <c r="L194" s="41" t="s">
        <v>110</v>
      </c>
      <c r="M194" s="41">
        <v>1</v>
      </c>
      <c r="N194" s="39"/>
      <c r="O194" s="39"/>
      <c r="P194" s="5" t="s">
        <v>111</v>
      </c>
      <c r="Q194" s="41"/>
      <c r="R194" s="41" t="s">
        <v>112</v>
      </c>
      <c r="S194" s="41">
        <v>3</v>
      </c>
      <c r="T194" s="41" t="s">
        <v>801</v>
      </c>
      <c r="U194" s="41"/>
      <c r="V194" s="41"/>
      <c r="W194" s="174">
        <v>45992</v>
      </c>
      <c r="X194" s="174">
        <v>45992</v>
      </c>
      <c r="Y194" s="41"/>
      <c r="Z194" s="42" t="s">
        <v>116</v>
      </c>
      <c r="AA194" s="42" t="s">
        <v>1124</v>
      </c>
      <c r="AB194" s="42" t="s">
        <v>1125</v>
      </c>
      <c r="AC194" s="42"/>
      <c r="AD194" s="42"/>
      <c r="AE194" s="42"/>
      <c r="AF194" s="12">
        <f t="shared" si="2"/>
        <v>80</v>
      </c>
      <c r="AG194" s="7">
        <v>80</v>
      </c>
      <c r="AH194" s="7"/>
      <c r="AI194" s="7">
        <v>80</v>
      </c>
      <c r="AJ194" s="7"/>
      <c r="AK194" s="7">
        <v>80</v>
      </c>
      <c r="AL194" s="7"/>
      <c r="AM194" s="7">
        <v>80</v>
      </c>
      <c r="AN194" s="7"/>
      <c r="AO194" s="63">
        <v>5.8</v>
      </c>
      <c r="AP194" s="58">
        <v>1600</v>
      </c>
      <c r="AQ194" s="58">
        <v>460</v>
      </c>
      <c r="AR194" s="58">
        <v>460</v>
      </c>
      <c r="AS194" s="30">
        <v>16008</v>
      </c>
      <c r="AT194" s="30">
        <v>9280</v>
      </c>
      <c r="AU194" s="30">
        <v>25288</v>
      </c>
      <c r="AV194" s="197">
        <v>16008</v>
      </c>
      <c r="AW194" s="197">
        <v>9280</v>
      </c>
      <c r="AX194" s="197">
        <v>25288</v>
      </c>
      <c r="AY194" s="203"/>
      <c r="AZ194" s="203"/>
      <c r="BA194" s="203">
        <v>0</v>
      </c>
      <c r="BB194" s="41" t="s">
        <v>1126</v>
      </c>
      <c r="BC194" s="191"/>
      <c r="BD194" s="190">
        <v>3</v>
      </c>
      <c r="BE194" s="30"/>
      <c r="BF194" s="186"/>
      <c r="BG194" s="183"/>
      <c r="BH194" s="183"/>
    </row>
    <row r="195" spans="1:60" ht="30" hidden="1" customHeight="1">
      <c r="A195" s="41" t="s">
        <v>192</v>
      </c>
      <c r="B195" s="116" t="s">
        <v>1127</v>
      </c>
      <c r="C195" s="116" t="s">
        <v>1128</v>
      </c>
      <c r="D195" s="116"/>
      <c r="E195" s="117" t="s">
        <v>126</v>
      </c>
      <c r="F195" s="117" t="s">
        <v>152</v>
      </c>
      <c r="G195" s="116" t="s">
        <v>1129</v>
      </c>
      <c r="H195" s="119"/>
      <c r="I195" s="118"/>
      <c r="J195" s="41" t="s">
        <v>110</v>
      </c>
      <c r="K195" s="41">
        <v>2</v>
      </c>
      <c r="L195" s="41" t="s">
        <v>110</v>
      </c>
      <c r="M195" s="41">
        <v>1</v>
      </c>
      <c r="N195" s="39"/>
      <c r="O195" s="39"/>
      <c r="P195" s="5" t="s">
        <v>111</v>
      </c>
      <c r="Q195" s="41"/>
      <c r="R195" s="41" t="s">
        <v>112</v>
      </c>
      <c r="S195" s="41">
        <v>5</v>
      </c>
      <c r="T195" s="41" t="s">
        <v>1128</v>
      </c>
      <c r="U195" s="41"/>
      <c r="V195" s="41" t="s">
        <v>115</v>
      </c>
      <c r="W195" s="174">
        <v>45992</v>
      </c>
      <c r="X195" s="174">
        <v>45992</v>
      </c>
      <c r="Y195" s="41"/>
      <c r="Z195" s="42" t="s">
        <v>862</v>
      </c>
      <c r="AA195" s="42" t="s">
        <v>1130</v>
      </c>
      <c r="AB195" s="42" t="s">
        <v>517</v>
      </c>
      <c r="AC195" s="42"/>
      <c r="AD195" s="42"/>
      <c r="AE195" s="42"/>
      <c r="AF195" s="12">
        <f t="shared" si="2"/>
        <v>80</v>
      </c>
      <c r="AG195" s="7">
        <v>100</v>
      </c>
      <c r="AH195" s="7"/>
      <c r="AI195" s="7">
        <v>40</v>
      </c>
      <c r="AJ195" s="7"/>
      <c r="AK195" s="7">
        <v>100</v>
      </c>
      <c r="AL195" s="7"/>
      <c r="AM195" s="7">
        <v>80</v>
      </c>
      <c r="AN195" s="7"/>
      <c r="AO195" s="63">
        <v>5.8</v>
      </c>
      <c r="AP195" s="58">
        <v>800</v>
      </c>
      <c r="AQ195" s="58">
        <v>280</v>
      </c>
      <c r="AR195" s="58">
        <v>280</v>
      </c>
      <c r="AS195" s="30">
        <v>22736</v>
      </c>
      <c r="AT195" s="30">
        <v>9280</v>
      </c>
      <c r="AU195" s="30">
        <v>32016</v>
      </c>
      <c r="AV195" s="197">
        <v>11368</v>
      </c>
      <c r="AW195" s="197">
        <v>4640</v>
      </c>
      <c r="AX195" s="197">
        <v>16008</v>
      </c>
      <c r="AY195" s="203"/>
      <c r="AZ195" s="203"/>
      <c r="BA195" s="203">
        <v>0</v>
      </c>
      <c r="BB195" s="41" t="s">
        <v>799</v>
      </c>
      <c r="BC195" s="191"/>
      <c r="BD195" s="189">
        <v>2</v>
      </c>
      <c r="BE195" s="30"/>
      <c r="BF195" s="186"/>
      <c r="BG195" s="183"/>
      <c r="BH195" s="183"/>
    </row>
    <row r="196" spans="1:60" ht="30" hidden="1" customHeight="1">
      <c r="A196" s="41" t="s">
        <v>122</v>
      </c>
      <c r="B196" s="116" t="s">
        <v>1131</v>
      </c>
      <c r="C196" s="116" t="s">
        <v>1132</v>
      </c>
      <c r="D196" s="116"/>
      <c r="E196" s="117" t="s">
        <v>126</v>
      </c>
      <c r="F196" s="117" t="s">
        <v>152</v>
      </c>
      <c r="G196" s="116" t="s">
        <v>367</v>
      </c>
      <c r="H196" s="119"/>
      <c r="I196" s="118"/>
      <c r="J196" s="41" t="s">
        <v>110</v>
      </c>
      <c r="K196" s="41">
        <v>1</v>
      </c>
      <c r="L196" s="41" t="s">
        <v>110</v>
      </c>
      <c r="M196" s="41">
        <v>1</v>
      </c>
      <c r="N196" s="39"/>
      <c r="O196" s="39"/>
      <c r="P196" s="5" t="s">
        <v>111</v>
      </c>
      <c r="Q196" s="41"/>
      <c r="R196" s="41" t="s">
        <v>112</v>
      </c>
      <c r="S196" s="41">
        <v>4</v>
      </c>
      <c r="T196" s="41" t="s">
        <v>801</v>
      </c>
      <c r="U196" s="41"/>
      <c r="V196" s="41"/>
      <c r="W196" s="174">
        <v>45992</v>
      </c>
      <c r="X196" s="174">
        <v>45992</v>
      </c>
      <c r="Y196" s="41"/>
      <c r="Z196" s="42" t="s">
        <v>116</v>
      </c>
      <c r="AA196" s="42" t="s">
        <v>369</v>
      </c>
      <c r="AB196" s="42" t="s">
        <v>118</v>
      </c>
      <c r="AC196" s="42" t="s">
        <v>370</v>
      </c>
      <c r="AD196" s="42"/>
      <c r="AE196" s="42"/>
      <c r="AF196" s="12">
        <f t="shared" si="2"/>
        <v>80</v>
      </c>
      <c r="AG196" s="7">
        <v>80</v>
      </c>
      <c r="AH196" s="7"/>
      <c r="AI196" s="7">
        <v>80</v>
      </c>
      <c r="AJ196" s="7"/>
      <c r="AK196" s="7">
        <v>80</v>
      </c>
      <c r="AL196" s="7"/>
      <c r="AM196" s="7">
        <v>80</v>
      </c>
      <c r="AN196" s="7"/>
      <c r="AO196" s="63">
        <v>5.8</v>
      </c>
      <c r="AP196" s="58">
        <v>1600</v>
      </c>
      <c r="AQ196" s="58">
        <v>370</v>
      </c>
      <c r="AR196" s="58">
        <f>PAI2025Planejamento[[#This Row],[DIÁRIA SOLICITADA]]</f>
        <v>370</v>
      </c>
      <c r="AS196" s="30">
        <v>15022</v>
      </c>
      <c r="AT196" s="30">
        <v>9280</v>
      </c>
      <c r="AU196" s="30">
        <v>24302</v>
      </c>
      <c r="AV196" s="197">
        <v>15022</v>
      </c>
      <c r="AW196" s="197">
        <v>9280</v>
      </c>
      <c r="AX196" s="197">
        <v>24302</v>
      </c>
      <c r="AY196" s="203"/>
      <c r="AZ196" s="203"/>
      <c r="BA196" s="203">
        <v>0</v>
      </c>
      <c r="BB196" s="41" t="s">
        <v>371</v>
      </c>
      <c r="BC196" s="191"/>
      <c r="BD196" s="189">
        <v>3</v>
      </c>
      <c r="BE196" s="30"/>
      <c r="BF196" s="186"/>
      <c r="BG196" s="183"/>
      <c r="BH196" s="183"/>
    </row>
    <row r="197" spans="1:60" ht="30" hidden="1" customHeight="1">
      <c r="A197" s="41" t="s">
        <v>122</v>
      </c>
      <c r="B197" s="116" t="s">
        <v>1133</v>
      </c>
      <c r="C197" s="116" t="s">
        <v>1134</v>
      </c>
      <c r="D197" s="116"/>
      <c r="E197" s="117" t="s">
        <v>126</v>
      </c>
      <c r="F197" s="117" t="s">
        <v>152</v>
      </c>
      <c r="G197" s="116" t="s">
        <v>377</v>
      </c>
      <c r="H197" s="119"/>
      <c r="I197" s="118"/>
      <c r="J197" s="41" t="s">
        <v>110</v>
      </c>
      <c r="K197" s="41">
        <v>0</v>
      </c>
      <c r="L197" s="41" t="s">
        <v>110</v>
      </c>
      <c r="M197" s="41">
        <v>0</v>
      </c>
      <c r="N197" s="39"/>
      <c r="O197" s="39"/>
      <c r="P197" s="5" t="s">
        <v>111</v>
      </c>
      <c r="Q197" s="41"/>
      <c r="R197" s="41" t="s">
        <v>112</v>
      </c>
      <c r="S197" s="41">
        <v>4</v>
      </c>
      <c r="T197" s="41" t="s">
        <v>801</v>
      </c>
      <c r="U197" s="41"/>
      <c r="V197" s="41"/>
      <c r="W197" s="174">
        <v>45992</v>
      </c>
      <c r="X197" s="174">
        <v>45992</v>
      </c>
      <c r="Y197" s="41"/>
      <c r="Z197" s="42" t="s">
        <v>116</v>
      </c>
      <c r="AA197" s="42" t="s">
        <v>369</v>
      </c>
      <c r="AB197" s="42" t="s">
        <v>118</v>
      </c>
      <c r="AC197" s="42" t="s">
        <v>370</v>
      </c>
      <c r="AD197" s="42"/>
      <c r="AE197" s="42"/>
      <c r="AF197" s="12">
        <f t="shared" ref="AF197:AF260" si="6">AG197*$AG$2+AI197*$AI$2+AK197*$AK$2+AM197*$AM$2</f>
        <v>80</v>
      </c>
      <c r="AG197" s="7">
        <v>80</v>
      </c>
      <c r="AH197" s="7"/>
      <c r="AI197" s="7">
        <v>80</v>
      </c>
      <c r="AJ197" s="7"/>
      <c r="AK197" s="7">
        <v>80</v>
      </c>
      <c r="AL197" s="7"/>
      <c r="AM197" s="7">
        <v>80</v>
      </c>
      <c r="AN197" s="7"/>
      <c r="AO197" s="63">
        <v>5.8</v>
      </c>
      <c r="AP197" s="58">
        <v>1600</v>
      </c>
      <c r="AQ197" s="58">
        <v>370</v>
      </c>
      <c r="AR197" s="58">
        <f>PAI2025Planejamento[[#This Row],[DIÁRIA SOLICITADA]]</f>
        <v>370</v>
      </c>
      <c r="AS197" s="30">
        <v>0</v>
      </c>
      <c r="AT197" s="30">
        <v>0</v>
      </c>
      <c r="AU197" s="30">
        <v>0</v>
      </c>
      <c r="AV197" s="197">
        <v>0</v>
      </c>
      <c r="AW197" s="197">
        <v>0</v>
      </c>
      <c r="AX197" s="197">
        <v>0</v>
      </c>
      <c r="AY197" s="203"/>
      <c r="AZ197" s="203"/>
      <c r="BA197" s="203">
        <v>0</v>
      </c>
      <c r="BB197" s="41" t="s">
        <v>371</v>
      </c>
      <c r="BC197" s="191"/>
      <c r="BD197" s="189">
        <v>3</v>
      </c>
      <c r="BE197" s="30"/>
      <c r="BF197" s="186"/>
      <c r="BG197" s="183"/>
      <c r="BH197" s="183"/>
    </row>
    <row r="198" spans="1:60" ht="30" hidden="1" customHeight="1">
      <c r="A198" s="41" t="s">
        <v>122</v>
      </c>
      <c r="B198" s="116" t="s">
        <v>1084</v>
      </c>
      <c r="C198" s="116" t="s">
        <v>1085</v>
      </c>
      <c r="D198" s="116"/>
      <c r="E198" s="117" t="s">
        <v>107</v>
      </c>
      <c r="F198" s="118" t="s">
        <v>340</v>
      </c>
      <c r="G198" s="116"/>
      <c r="H198" s="119"/>
      <c r="I198" s="118"/>
      <c r="J198" s="41" t="s">
        <v>110</v>
      </c>
      <c r="K198" s="41">
        <v>1</v>
      </c>
      <c r="L198" s="41" t="s">
        <v>110</v>
      </c>
      <c r="M198" s="41">
        <v>1</v>
      </c>
      <c r="N198" s="39"/>
      <c r="O198" s="39"/>
      <c r="P198" s="5" t="s">
        <v>111</v>
      </c>
      <c r="Q198" s="41"/>
      <c r="R198" s="5" t="s">
        <v>112</v>
      </c>
      <c r="S198" s="41">
        <v>5</v>
      </c>
      <c r="T198" s="41" t="s">
        <v>218</v>
      </c>
      <c r="U198" s="41"/>
      <c r="V198" s="41"/>
      <c r="W198" s="174">
        <v>45992</v>
      </c>
      <c r="X198" s="174">
        <v>45992</v>
      </c>
      <c r="Y198" s="41"/>
      <c r="Z198" s="42" t="s">
        <v>116</v>
      </c>
      <c r="AA198" s="37" t="s">
        <v>1135</v>
      </c>
      <c r="AB198" s="42" t="s">
        <v>118</v>
      </c>
      <c r="AC198" s="42" t="s">
        <v>119</v>
      </c>
      <c r="AD198" s="51"/>
      <c r="AE198" s="51"/>
      <c r="AF198" s="12">
        <f t="shared" si="6"/>
        <v>80</v>
      </c>
      <c r="AG198" s="7">
        <v>80</v>
      </c>
      <c r="AH198" s="7"/>
      <c r="AI198" s="7">
        <v>80</v>
      </c>
      <c r="AJ198" s="7" t="s">
        <v>1081</v>
      </c>
      <c r="AK198" s="7">
        <v>80</v>
      </c>
      <c r="AL198" s="7"/>
      <c r="AM198" s="7">
        <v>80</v>
      </c>
      <c r="AN198" s="7"/>
      <c r="AO198" s="63">
        <v>5.8</v>
      </c>
      <c r="AP198" s="58">
        <v>1600</v>
      </c>
      <c r="AQ198" s="58">
        <v>320</v>
      </c>
      <c r="AR198" s="58">
        <v>320</v>
      </c>
      <c r="AS198" s="30">
        <v>14848</v>
      </c>
      <c r="AT198" s="30">
        <v>9280</v>
      </c>
      <c r="AU198" s="30">
        <v>24128</v>
      </c>
      <c r="AV198" s="197">
        <v>14848</v>
      </c>
      <c r="AW198" s="197">
        <v>9280</v>
      </c>
      <c r="AX198" s="197">
        <v>24128</v>
      </c>
      <c r="AY198" s="203"/>
      <c r="AZ198" s="203"/>
      <c r="BA198" s="203">
        <v>0</v>
      </c>
      <c r="BB198" s="41" t="s">
        <v>1136</v>
      </c>
      <c r="BC198" s="191"/>
      <c r="BD198" s="190">
        <v>3</v>
      </c>
      <c r="BE198" s="30"/>
      <c r="BF198" s="186"/>
      <c r="BG198" s="183"/>
      <c r="BH198" s="183"/>
    </row>
    <row r="199" spans="1:60" ht="30" hidden="1" customHeight="1">
      <c r="A199" s="41" t="s">
        <v>290</v>
      </c>
      <c r="B199" s="116" t="s">
        <v>1137</v>
      </c>
      <c r="C199" s="116"/>
      <c r="D199" s="116"/>
      <c r="E199" s="117" t="s">
        <v>107</v>
      </c>
      <c r="F199" s="117" t="s">
        <v>293</v>
      </c>
      <c r="G199" s="116" t="s">
        <v>1138</v>
      </c>
      <c r="H199" s="119"/>
      <c r="I199" s="118"/>
      <c r="J199" s="41" t="s">
        <v>110</v>
      </c>
      <c r="K199" s="41">
        <v>0</v>
      </c>
      <c r="L199" s="41" t="s">
        <v>110</v>
      </c>
      <c r="M199" s="41">
        <v>0</v>
      </c>
      <c r="N199" s="39" t="s">
        <v>115</v>
      </c>
      <c r="O199" s="39">
        <v>0</v>
      </c>
      <c r="P199" s="5" t="s">
        <v>111</v>
      </c>
      <c r="Q199" s="41"/>
      <c r="R199" s="41" t="s">
        <v>112</v>
      </c>
      <c r="S199" s="41">
        <v>5</v>
      </c>
      <c r="T199" s="41" t="s">
        <v>295</v>
      </c>
      <c r="U199" s="41"/>
      <c r="V199" s="41" t="s">
        <v>115</v>
      </c>
      <c r="W199" s="174">
        <v>45992</v>
      </c>
      <c r="X199" s="174">
        <v>45992</v>
      </c>
      <c r="Y199" s="41"/>
      <c r="Z199" s="42" t="s">
        <v>581</v>
      </c>
      <c r="AA199" s="37" t="s">
        <v>1139</v>
      </c>
      <c r="AB199" s="42" t="s">
        <v>517</v>
      </c>
      <c r="AC199" s="42" t="s">
        <v>1140</v>
      </c>
      <c r="AD199" s="51"/>
      <c r="AE199" s="51"/>
      <c r="AF199" s="12">
        <f t="shared" si="6"/>
        <v>80</v>
      </c>
      <c r="AG199" s="7">
        <v>100</v>
      </c>
      <c r="AH199" s="7"/>
      <c r="AI199" s="7">
        <v>40</v>
      </c>
      <c r="AJ199" s="7"/>
      <c r="AK199" s="7">
        <v>100</v>
      </c>
      <c r="AL199" s="7"/>
      <c r="AM199" s="7">
        <v>80</v>
      </c>
      <c r="AN199" s="7"/>
      <c r="AO199" s="63">
        <v>5.8</v>
      </c>
      <c r="AP199" s="58">
        <v>1600</v>
      </c>
      <c r="AQ199" s="58">
        <v>270</v>
      </c>
      <c r="AR199" s="58">
        <v>270</v>
      </c>
      <c r="AS199" s="30">
        <v>0</v>
      </c>
      <c r="AT199" s="30">
        <v>0</v>
      </c>
      <c r="AU199" s="30">
        <v>0</v>
      </c>
      <c r="AV199" s="197">
        <v>0</v>
      </c>
      <c r="AW199" s="197">
        <v>0</v>
      </c>
      <c r="AX199" s="197">
        <v>0</v>
      </c>
      <c r="AY199" s="203"/>
      <c r="AZ199" s="203"/>
      <c r="BA199" s="203">
        <v>0</v>
      </c>
      <c r="BB199" s="41" t="s">
        <v>1016</v>
      </c>
      <c r="BC199" s="191"/>
      <c r="BD199" s="190">
        <v>2</v>
      </c>
      <c r="BE199" s="30"/>
      <c r="BF199" s="186"/>
      <c r="BG199" s="183"/>
      <c r="BH199" s="183"/>
    </row>
    <row r="200" spans="1:60" ht="30" hidden="1" customHeight="1">
      <c r="A200" s="41" t="s">
        <v>421</v>
      </c>
      <c r="B200" s="116" t="s">
        <v>1141</v>
      </c>
      <c r="C200" s="116" t="s">
        <v>421</v>
      </c>
      <c r="D200" s="116"/>
      <c r="E200" s="117" t="s">
        <v>107</v>
      </c>
      <c r="F200" s="118" t="s">
        <v>108</v>
      </c>
      <c r="G200" s="116"/>
      <c r="H200" s="119"/>
      <c r="I200" s="118"/>
      <c r="J200" s="41" t="s">
        <v>110</v>
      </c>
      <c r="K200" s="41">
        <v>2</v>
      </c>
      <c r="L200" s="41" t="s">
        <v>110</v>
      </c>
      <c r="M200" s="41">
        <v>1</v>
      </c>
      <c r="N200" s="39" t="s">
        <v>115</v>
      </c>
      <c r="O200" s="39">
        <v>1</v>
      </c>
      <c r="P200" s="41" t="s">
        <v>111</v>
      </c>
      <c r="Q200" s="41"/>
      <c r="R200" s="5" t="s">
        <v>112</v>
      </c>
      <c r="S200" s="41">
        <v>5</v>
      </c>
      <c r="T200" s="41" t="s">
        <v>139</v>
      </c>
      <c r="U200" s="41"/>
      <c r="V200" s="41"/>
      <c r="W200" s="174">
        <v>45992</v>
      </c>
      <c r="X200" s="174">
        <v>45992</v>
      </c>
      <c r="Y200" s="41"/>
      <c r="Z200" s="42" t="s">
        <v>141</v>
      </c>
      <c r="AA200" s="37" t="s">
        <v>1142</v>
      </c>
      <c r="AB200" s="42"/>
      <c r="AC200" s="42" t="s">
        <v>427</v>
      </c>
      <c r="AD200" s="51"/>
      <c r="AE200" s="51"/>
      <c r="AF200" s="12">
        <f t="shared" si="6"/>
        <v>80</v>
      </c>
      <c r="AG200" s="7">
        <v>80</v>
      </c>
      <c r="AH200" s="7"/>
      <c r="AI200" s="7">
        <v>80</v>
      </c>
      <c r="AJ200" s="7"/>
      <c r="AK200" s="7">
        <v>80</v>
      </c>
      <c r="AL200" s="7"/>
      <c r="AM200" s="7">
        <v>80</v>
      </c>
      <c r="AN200" s="7"/>
      <c r="AO200" s="63">
        <v>5.8</v>
      </c>
      <c r="AP200" s="58">
        <v>1600</v>
      </c>
      <c r="AQ200" s="58">
        <v>420</v>
      </c>
      <c r="AR200" s="58">
        <v>420</v>
      </c>
      <c r="AS200" s="30">
        <v>38976</v>
      </c>
      <c r="AT200" s="30">
        <v>18560</v>
      </c>
      <c r="AU200" s="30">
        <v>57536</v>
      </c>
      <c r="AV200" s="197">
        <v>19488</v>
      </c>
      <c r="AW200" s="197">
        <v>9280</v>
      </c>
      <c r="AX200" s="197">
        <v>28768</v>
      </c>
      <c r="AY200" s="203"/>
      <c r="AZ200" s="203"/>
      <c r="BA200" s="203">
        <v>0</v>
      </c>
      <c r="BB200" s="41"/>
      <c r="BC200" s="191"/>
      <c r="BD200" s="190">
        <v>3</v>
      </c>
      <c r="BE200" s="30"/>
      <c r="BF200" s="186"/>
      <c r="BG200" s="183"/>
      <c r="BH200" s="183"/>
    </row>
    <row r="201" spans="1:60" ht="30" hidden="1" customHeight="1">
      <c r="A201" s="41" t="s">
        <v>421</v>
      </c>
      <c r="B201" s="116" t="s">
        <v>1143</v>
      </c>
      <c r="C201" s="116" t="s">
        <v>421</v>
      </c>
      <c r="D201" s="116"/>
      <c r="E201" s="117" t="s">
        <v>107</v>
      </c>
      <c r="F201" s="117" t="s">
        <v>108</v>
      </c>
      <c r="G201" s="116"/>
      <c r="H201" s="119"/>
      <c r="I201" s="118"/>
      <c r="J201" s="41" t="s">
        <v>110</v>
      </c>
      <c r="K201" s="41">
        <v>2</v>
      </c>
      <c r="L201" s="41" t="s">
        <v>110</v>
      </c>
      <c r="M201" s="41">
        <v>1</v>
      </c>
      <c r="N201" s="39" t="s">
        <v>115</v>
      </c>
      <c r="O201" s="39">
        <v>1</v>
      </c>
      <c r="P201" s="5" t="s">
        <v>111</v>
      </c>
      <c r="Q201" s="41"/>
      <c r="R201" s="41" t="s">
        <v>112</v>
      </c>
      <c r="S201" s="41">
        <v>5</v>
      </c>
      <c r="T201" s="41" t="s">
        <v>139</v>
      </c>
      <c r="U201" s="41"/>
      <c r="V201" s="41"/>
      <c r="W201" s="174">
        <v>45992</v>
      </c>
      <c r="X201" s="174">
        <v>45992</v>
      </c>
      <c r="Y201" s="41"/>
      <c r="Z201" s="42" t="s">
        <v>141</v>
      </c>
      <c r="AA201" s="37" t="s">
        <v>1142</v>
      </c>
      <c r="AB201" s="42"/>
      <c r="AC201" s="42" t="s">
        <v>427</v>
      </c>
      <c r="AD201" s="51"/>
      <c r="AE201" s="51"/>
      <c r="AF201" s="12">
        <f t="shared" si="6"/>
        <v>80</v>
      </c>
      <c r="AG201" s="7">
        <v>80</v>
      </c>
      <c r="AH201" s="7"/>
      <c r="AI201" s="7">
        <v>80</v>
      </c>
      <c r="AJ201" s="7"/>
      <c r="AK201" s="7">
        <v>80</v>
      </c>
      <c r="AL201" s="7"/>
      <c r="AM201" s="7">
        <v>80</v>
      </c>
      <c r="AN201" s="7"/>
      <c r="AO201" s="63">
        <v>5.8</v>
      </c>
      <c r="AP201" s="58">
        <v>1600</v>
      </c>
      <c r="AQ201" s="58">
        <v>420</v>
      </c>
      <c r="AR201" s="58">
        <v>420</v>
      </c>
      <c r="AS201" s="30">
        <v>38976</v>
      </c>
      <c r="AT201" s="30">
        <v>18560</v>
      </c>
      <c r="AU201" s="30">
        <v>57536</v>
      </c>
      <c r="AV201" s="197">
        <v>19488</v>
      </c>
      <c r="AW201" s="197">
        <v>9280</v>
      </c>
      <c r="AX201" s="197">
        <v>28768</v>
      </c>
      <c r="AY201" s="203"/>
      <c r="AZ201" s="203"/>
      <c r="BA201" s="203">
        <v>0</v>
      </c>
      <c r="BB201" s="41"/>
      <c r="BC201" s="191"/>
      <c r="BD201" s="190">
        <v>3</v>
      </c>
      <c r="BE201" s="30"/>
      <c r="BF201" s="186"/>
      <c r="BG201" s="183"/>
      <c r="BH201" s="183"/>
    </row>
    <row r="202" spans="1:60" ht="30" hidden="1" customHeight="1">
      <c r="A202" s="41" t="s">
        <v>421</v>
      </c>
      <c r="B202" s="116" t="s">
        <v>1144</v>
      </c>
      <c r="C202" s="116" t="s">
        <v>421</v>
      </c>
      <c r="D202" s="116"/>
      <c r="E202" s="117" t="s">
        <v>107</v>
      </c>
      <c r="F202" s="118" t="s">
        <v>108</v>
      </c>
      <c r="G202" s="116"/>
      <c r="H202" s="119"/>
      <c r="I202" s="118"/>
      <c r="J202" s="41" t="s">
        <v>110</v>
      </c>
      <c r="K202" s="41">
        <v>2</v>
      </c>
      <c r="L202" s="41" t="s">
        <v>110</v>
      </c>
      <c r="M202" s="41">
        <v>1</v>
      </c>
      <c r="N202" s="39" t="s">
        <v>115</v>
      </c>
      <c r="O202" s="39">
        <v>1</v>
      </c>
      <c r="P202" s="5" t="s">
        <v>111</v>
      </c>
      <c r="Q202" s="41"/>
      <c r="R202" s="5" t="s">
        <v>112</v>
      </c>
      <c r="S202" s="41">
        <v>5</v>
      </c>
      <c r="T202" s="41" t="s">
        <v>139</v>
      </c>
      <c r="U202" s="41"/>
      <c r="V202" s="41"/>
      <c r="W202" s="174">
        <v>45992</v>
      </c>
      <c r="X202" s="174">
        <v>45992</v>
      </c>
      <c r="Y202" s="41"/>
      <c r="Z202" s="42" t="s">
        <v>141</v>
      </c>
      <c r="AA202" s="37" t="s">
        <v>1142</v>
      </c>
      <c r="AB202" s="42"/>
      <c r="AC202" s="42" t="s">
        <v>427</v>
      </c>
      <c r="AD202" s="51"/>
      <c r="AE202" s="51"/>
      <c r="AF202" s="12">
        <f t="shared" si="6"/>
        <v>80</v>
      </c>
      <c r="AG202" s="7">
        <v>80</v>
      </c>
      <c r="AH202" s="7"/>
      <c r="AI202" s="7">
        <v>80</v>
      </c>
      <c r="AJ202" s="7"/>
      <c r="AK202" s="7">
        <v>80</v>
      </c>
      <c r="AL202" s="7"/>
      <c r="AM202" s="7">
        <v>80</v>
      </c>
      <c r="AN202" s="7"/>
      <c r="AO202" s="63">
        <v>5.8</v>
      </c>
      <c r="AP202" s="58">
        <v>1600</v>
      </c>
      <c r="AQ202" s="58">
        <v>420</v>
      </c>
      <c r="AR202" s="58">
        <v>420</v>
      </c>
      <c r="AS202" s="30">
        <v>38976</v>
      </c>
      <c r="AT202" s="30">
        <v>18560</v>
      </c>
      <c r="AU202" s="30">
        <v>57536</v>
      </c>
      <c r="AV202" s="197">
        <v>19488</v>
      </c>
      <c r="AW202" s="197">
        <v>9280</v>
      </c>
      <c r="AX202" s="197">
        <v>28768</v>
      </c>
      <c r="AY202" s="203"/>
      <c r="AZ202" s="203"/>
      <c r="BA202" s="203">
        <v>0</v>
      </c>
      <c r="BB202" s="41"/>
      <c r="BC202" s="191"/>
      <c r="BD202" s="190">
        <v>3</v>
      </c>
      <c r="BE202" s="30"/>
      <c r="BF202" s="186"/>
      <c r="BG202" s="183"/>
      <c r="BH202" s="183"/>
    </row>
    <row r="203" spans="1:60" ht="30" hidden="1" customHeight="1">
      <c r="A203" s="41" t="s">
        <v>122</v>
      </c>
      <c r="B203" s="116" t="s">
        <v>1145</v>
      </c>
      <c r="C203" s="116" t="s">
        <v>1146</v>
      </c>
      <c r="D203" s="116" t="s">
        <v>1147</v>
      </c>
      <c r="E203" s="117" t="s">
        <v>107</v>
      </c>
      <c r="F203" s="118" t="s">
        <v>275</v>
      </c>
      <c r="G203" s="116" t="s">
        <v>1148</v>
      </c>
      <c r="H203" s="119"/>
      <c r="I203" s="118"/>
      <c r="J203" s="41" t="s">
        <v>110</v>
      </c>
      <c r="K203" s="41">
        <v>0</v>
      </c>
      <c r="L203" s="41" t="s">
        <v>110</v>
      </c>
      <c r="M203" s="41">
        <v>0</v>
      </c>
      <c r="N203" s="39"/>
      <c r="O203" s="39"/>
      <c r="P203" s="5" t="s">
        <v>111</v>
      </c>
      <c r="Q203" s="41"/>
      <c r="R203" s="5" t="s">
        <v>112</v>
      </c>
      <c r="S203" s="41">
        <v>5</v>
      </c>
      <c r="T203" s="41" t="s">
        <v>232</v>
      </c>
      <c r="U203" s="41"/>
      <c r="V203" s="41"/>
      <c r="W203" s="174">
        <v>45992</v>
      </c>
      <c r="X203" s="174">
        <v>45992</v>
      </c>
      <c r="Y203" s="41"/>
      <c r="Z203" s="42" t="s">
        <v>116</v>
      </c>
      <c r="AA203" s="37" t="s">
        <v>1149</v>
      </c>
      <c r="AB203" s="42" t="s">
        <v>118</v>
      </c>
      <c r="AC203" s="42" t="s">
        <v>119</v>
      </c>
      <c r="AD203" s="51"/>
      <c r="AE203" s="51"/>
      <c r="AF203" s="12">
        <f t="shared" si="6"/>
        <v>80</v>
      </c>
      <c r="AG203" s="7">
        <v>80</v>
      </c>
      <c r="AH203" s="7"/>
      <c r="AI203" s="7">
        <v>80</v>
      </c>
      <c r="AJ203" s="7" t="s">
        <v>1150</v>
      </c>
      <c r="AK203" s="7">
        <v>80</v>
      </c>
      <c r="AL203" s="7"/>
      <c r="AM203" s="7">
        <v>80</v>
      </c>
      <c r="AN203" s="7"/>
      <c r="AO203" s="63">
        <v>5.8</v>
      </c>
      <c r="AP203" s="58">
        <v>1600</v>
      </c>
      <c r="AQ203" s="58">
        <v>370</v>
      </c>
      <c r="AR203" s="58">
        <v>370</v>
      </c>
      <c r="AS203" s="30">
        <v>0</v>
      </c>
      <c r="AT203" s="30">
        <v>0</v>
      </c>
      <c r="AU203" s="30">
        <v>0</v>
      </c>
      <c r="AV203" s="197">
        <v>0</v>
      </c>
      <c r="AW203" s="197">
        <v>0</v>
      </c>
      <c r="AX203" s="197">
        <v>0</v>
      </c>
      <c r="AY203" s="203"/>
      <c r="AZ203" s="203"/>
      <c r="BA203" s="203">
        <v>0</v>
      </c>
      <c r="BB203" s="41" t="s">
        <v>1151</v>
      </c>
      <c r="BC203" s="191"/>
      <c r="BD203" s="190">
        <v>3</v>
      </c>
      <c r="BE203" s="30"/>
      <c r="BF203" s="186"/>
      <c r="BG203" s="183"/>
      <c r="BH203" s="183"/>
    </row>
    <row r="204" spans="1:60" ht="30" hidden="1" customHeight="1">
      <c r="A204" s="41" t="s">
        <v>290</v>
      </c>
      <c r="B204" s="116" t="s">
        <v>1152</v>
      </c>
      <c r="C204" s="116" t="s">
        <v>1153</v>
      </c>
      <c r="D204" s="116"/>
      <c r="E204" s="117" t="s">
        <v>107</v>
      </c>
      <c r="F204" s="117" t="s">
        <v>340</v>
      </c>
      <c r="G204" s="116"/>
      <c r="H204" s="119"/>
      <c r="I204" s="118"/>
      <c r="J204" s="41" t="s">
        <v>110</v>
      </c>
      <c r="K204" s="41">
        <v>1</v>
      </c>
      <c r="L204" s="41" t="s">
        <v>110</v>
      </c>
      <c r="M204" s="41">
        <v>1</v>
      </c>
      <c r="N204" s="39" t="s">
        <v>115</v>
      </c>
      <c r="O204" s="39">
        <v>1</v>
      </c>
      <c r="P204" s="5" t="s">
        <v>111</v>
      </c>
      <c r="Q204" s="41"/>
      <c r="R204" s="41" t="s">
        <v>112</v>
      </c>
      <c r="S204" s="41">
        <v>5</v>
      </c>
      <c r="T204" s="41" t="s">
        <v>924</v>
      </c>
      <c r="U204" s="41"/>
      <c r="V204" s="41" t="s">
        <v>115</v>
      </c>
      <c r="W204" s="174">
        <v>45992</v>
      </c>
      <c r="X204" s="174">
        <v>45992</v>
      </c>
      <c r="Y204" s="41"/>
      <c r="Z204" s="42" t="s">
        <v>141</v>
      </c>
      <c r="AA204" s="37" t="s">
        <v>1154</v>
      </c>
      <c r="AB204" s="42" t="s">
        <v>118</v>
      </c>
      <c r="AC204" s="42" t="s">
        <v>1140</v>
      </c>
      <c r="AD204" s="51"/>
      <c r="AE204" s="51"/>
      <c r="AF204" s="12">
        <f t="shared" si="6"/>
        <v>80</v>
      </c>
      <c r="AG204" s="7">
        <v>80</v>
      </c>
      <c r="AH204" s="7"/>
      <c r="AI204" s="7">
        <v>80</v>
      </c>
      <c r="AJ204" s="7" t="s">
        <v>1155</v>
      </c>
      <c r="AK204" s="7">
        <v>80</v>
      </c>
      <c r="AL204" s="7"/>
      <c r="AM204" s="7">
        <v>80</v>
      </c>
      <c r="AN204" s="7"/>
      <c r="AO204" s="63">
        <v>5.8</v>
      </c>
      <c r="AP204" s="58">
        <v>800</v>
      </c>
      <c r="AQ204" s="58">
        <v>270</v>
      </c>
      <c r="AR204" s="58">
        <v>270</v>
      </c>
      <c r="AS204" s="30">
        <v>10962</v>
      </c>
      <c r="AT204" s="30">
        <v>4640</v>
      </c>
      <c r="AU204" s="30">
        <v>15602</v>
      </c>
      <c r="AV204" s="197">
        <v>10962</v>
      </c>
      <c r="AW204" s="197">
        <v>4640</v>
      </c>
      <c r="AX204" s="197">
        <v>15602</v>
      </c>
      <c r="AY204" s="203"/>
      <c r="AZ204" s="203"/>
      <c r="BA204" s="203">
        <v>0</v>
      </c>
      <c r="BB204" s="41" t="s">
        <v>1156</v>
      </c>
      <c r="BC204" s="191"/>
      <c r="BD204" s="190">
        <v>2</v>
      </c>
      <c r="BE204" s="30"/>
      <c r="BF204" s="186"/>
      <c r="BG204" s="183"/>
      <c r="BH204" s="183"/>
    </row>
    <row r="205" spans="1:60" ht="30" hidden="1" customHeight="1">
      <c r="A205" s="115" t="s">
        <v>1157</v>
      </c>
      <c r="B205" s="116" t="s">
        <v>1158</v>
      </c>
      <c r="C205" s="116">
        <v>2024</v>
      </c>
      <c r="D205" s="119"/>
      <c r="E205" s="117" t="s">
        <v>107</v>
      </c>
      <c r="F205" s="117" t="s">
        <v>108</v>
      </c>
      <c r="G205" s="116" t="s">
        <v>1159</v>
      </c>
      <c r="H205" s="119"/>
      <c r="I205" s="118"/>
      <c r="J205" s="41" t="s">
        <v>110</v>
      </c>
      <c r="K205" s="5">
        <v>0</v>
      </c>
      <c r="L205" s="41" t="s">
        <v>110</v>
      </c>
      <c r="M205" s="41">
        <v>0</v>
      </c>
      <c r="N205" s="39" t="s">
        <v>115</v>
      </c>
      <c r="O205" s="39">
        <v>0</v>
      </c>
      <c r="P205" s="5" t="s">
        <v>111</v>
      </c>
      <c r="Q205" s="41"/>
      <c r="R205" s="41" t="s">
        <v>112</v>
      </c>
      <c r="S205" s="5">
        <v>4</v>
      </c>
      <c r="T205" s="5" t="s">
        <v>1160</v>
      </c>
      <c r="U205" s="41" t="s">
        <v>1161</v>
      </c>
      <c r="V205" s="5"/>
      <c r="W205" s="174">
        <v>45992</v>
      </c>
      <c r="X205" s="174">
        <v>45992</v>
      </c>
      <c r="Y205" s="41"/>
      <c r="Z205" s="3" t="s">
        <v>902</v>
      </c>
      <c r="AA205" s="2" t="s">
        <v>1162</v>
      </c>
      <c r="AB205" s="3" t="s">
        <v>118</v>
      </c>
      <c r="AC205" s="3" t="s">
        <v>427</v>
      </c>
      <c r="AD205" s="50"/>
      <c r="AE205" s="50"/>
      <c r="AF205" s="12">
        <f t="shared" si="6"/>
        <v>80</v>
      </c>
      <c r="AG205" s="7">
        <v>80</v>
      </c>
      <c r="AH205" s="7"/>
      <c r="AI205" s="7">
        <v>80</v>
      </c>
      <c r="AJ205" s="7" t="s">
        <v>1163</v>
      </c>
      <c r="AK205" s="7">
        <v>80</v>
      </c>
      <c r="AL205" s="7"/>
      <c r="AM205" s="7">
        <v>80</v>
      </c>
      <c r="AN205" s="7"/>
      <c r="AO205" s="63">
        <v>5.8</v>
      </c>
      <c r="AP205" s="58">
        <v>0</v>
      </c>
      <c r="AQ205" s="58">
        <v>0</v>
      </c>
      <c r="AR205" s="58">
        <v>0</v>
      </c>
      <c r="AS205" s="30">
        <v>0</v>
      </c>
      <c r="AT205" s="30">
        <v>0</v>
      </c>
      <c r="AU205" s="30">
        <v>0</v>
      </c>
      <c r="AV205" s="199">
        <v>0</v>
      </c>
      <c r="AW205" s="199">
        <v>0</v>
      </c>
      <c r="AX205" s="199">
        <v>0</v>
      </c>
      <c r="AY205" s="203"/>
      <c r="AZ205" s="203"/>
      <c r="BA205" s="203">
        <v>0</v>
      </c>
      <c r="BB205" s="189"/>
      <c r="BC205" s="189"/>
      <c r="BD205" s="190">
        <v>1</v>
      </c>
      <c r="BE205" s="30"/>
      <c r="BF205" s="186"/>
      <c r="BG205" s="183"/>
      <c r="BH205" s="183"/>
    </row>
    <row r="206" spans="1:60" ht="30" hidden="1" customHeight="1">
      <c r="A206" s="41" t="s">
        <v>336</v>
      </c>
      <c r="B206" s="116" t="s">
        <v>1164</v>
      </c>
      <c r="C206" s="116">
        <v>2025</v>
      </c>
      <c r="D206" s="116"/>
      <c r="E206" s="117" t="s">
        <v>165</v>
      </c>
      <c r="F206" s="117" t="s">
        <v>166</v>
      </c>
      <c r="G206" s="116" t="s">
        <v>1165</v>
      </c>
      <c r="H206" s="119"/>
      <c r="I206" s="118"/>
      <c r="J206" s="41" t="s">
        <v>110</v>
      </c>
      <c r="K206" s="41">
        <v>1</v>
      </c>
      <c r="L206" s="41" t="s">
        <v>110</v>
      </c>
      <c r="M206" s="41">
        <v>1</v>
      </c>
      <c r="N206" s="39"/>
      <c r="O206" s="39"/>
      <c r="P206" s="5" t="s">
        <v>111</v>
      </c>
      <c r="Q206" s="41"/>
      <c r="R206" s="5" t="s">
        <v>112</v>
      </c>
      <c r="S206" s="41">
        <v>3</v>
      </c>
      <c r="T206" s="41" t="s">
        <v>924</v>
      </c>
      <c r="U206" s="41"/>
      <c r="V206" s="41" t="s">
        <v>115</v>
      </c>
      <c r="W206" s="174">
        <v>45992</v>
      </c>
      <c r="X206" s="174">
        <v>45992</v>
      </c>
      <c r="Y206" s="41"/>
      <c r="Z206" s="42" t="s">
        <v>267</v>
      </c>
      <c r="AA206" s="42" t="s">
        <v>1166</v>
      </c>
      <c r="AB206" s="42" t="s">
        <v>561</v>
      </c>
      <c r="AC206" s="42" t="s">
        <v>1167</v>
      </c>
      <c r="AD206" s="42"/>
      <c r="AE206" s="42"/>
      <c r="AF206" s="12">
        <f t="shared" si="6"/>
        <v>78</v>
      </c>
      <c r="AG206" s="7">
        <v>60</v>
      </c>
      <c r="AH206" s="7" t="s">
        <v>270</v>
      </c>
      <c r="AI206" s="7">
        <v>80</v>
      </c>
      <c r="AJ206" s="7" t="s">
        <v>1168</v>
      </c>
      <c r="AK206" s="7">
        <v>100</v>
      </c>
      <c r="AL206" s="7" t="s">
        <v>1023</v>
      </c>
      <c r="AM206" s="7">
        <v>100</v>
      </c>
      <c r="AN206" s="7" t="s">
        <v>865</v>
      </c>
      <c r="AO206" s="63">
        <v>5.8</v>
      </c>
      <c r="AP206" s="58">
        <v>800</v>
      </c>
      <c r="AQ206" s="58">
        <v>350</v>
      </c>
      <c r="AR206" s="58">
        <v>350</v>
      </c>
      <c r="AS206" s="30">
        <v>10150</v>
      </c>
      <c r="AT206" s="30">
        <v>4640</v>
      </c>
      <c r="AU206" s="30">
        <v>14790</v>
      </c>
      <c r="AV206" s="197">
        <v>10150</v>
      </c>
      <c r="AW206" s="197">
        <v>4640</v>
      </c>
      <c r="AX206" s="197">
        <v>14790</v>
      </c>
      <c r="AY206" s="203"/>
      <c r="AZ206" s="203"/>
      <c r="BA206" s="203">
        <v>0</v>
      </c>
      <c r="BB206" s="41"/>
      <c r="BC206" s="191"/>
      <c r="BD206" s="189">
        <v>2</v>
      </c>
      <c r="BE206" s="30"/>
      <c r="BF206" s="186"/>
      <c r="BG206" s="183"/>
      <c r="BH206" s="183"/>
    </row>
    <row r="207" spans="1:60" ht="30" hidden="1" customHeight="1">
      <c r="A207" s="41" t="s">
        <v>1157</v>
      </c>
      <c r="B207" s="116" t="s">
        <v>1169</v>
      </c>
      <c r="C207" s="116">
        <v>2025</v>
      </c>
      <c r="D207" s="116"/>
      <c r="E207" s="117" t="s">
        <v>107</v>
      </c>
      <c r="F207" s="117" t="s">
        <v>340</v>
      </c>
      <c r="G207" s="116" t="s">
        <v>368</v>
      </c>
      <c r="H207" s="119"/>
      <c r="I207" s="118"/>
      <c r="J207" s="41" t="s">
        <v>110</v>
      </c>
      <c r="K207" s="41">
        <v>1</v>
      </c>
      <c r="L207" s="41" t="s">
        <v>110</v>
      </c>
      <c r="M207" s="41">
        <v>1</v>
      </c>
      <c r="N207" s="39" t="s">
        <v>115</v>
      </c>
      <c r="O207" s="39">
        <v>1</v>
      </c>
      <c r="P207" s="5" t="s">
        <v>111</v>
      </c>
      <c r="Q207" s="41"/>
      <c r="R207" s="5" t="s">
        <v>112</v>
      </c>
      <c r="S207" s="41">
        <v>4</v>
      </c>
      <c r="T207" s="41" t="s">
        <v>368</v>
      </c>
      <c r="U207" s="41"/>
      <c r="V207" s="5"/>
      <c r="W207" s="174">
        <v>45992</v>
      </c>
      <c r="X207" s="174">
        <v>45992</v>
      </c>
      <c r="Y207" s="41"/>
      <c r="Z207" s="42" t="s">
        <v>267</v>
      </c>
      <c r="AA207" s="37" t="s">
        <v>1170</v>
      </c>
      <c r="AB207" s="42" t="s">
        <v>517</v>
      </c>
      <c r="AC207" s="42" t="s">
        <v>262</v>
      </c>
      <c r="AD207" s="51"/>
      <c r="AE207" s="51"/>
      <c r="AF207" s="12">
        <f t="shared" si="6"/>
        <v>78</v>
      </c>
      <c r="AG207" s="7">
        <v>60</v>
      </c>
      <c r="AH207" s="7"/>
      <c r="AI207" s="7">
        <v>80</v>
      </c>
      <c r="AJ207" s="7"/>
      <c r="AK207" s="7">
        <v>100</v>
      </c>
      <c r="AL207" s="7"/>
      <c r="AM207" s="7">
        <v>100</v>
      </c>
      <c r="AN207" s="7"/>
      <c r="AO207" s="63">
        <v>5.8</v>
      </c>
      <c r="AP207" s="58">
        <v>1600</v>
      </c>
      <c r="AQ207" s="58">
        <v>0</v>
      </c>
      <c r="AR207" s="58">
        <v>0</v>
      </c>
      <c r="AS207" s="30">
        <v>3150</v>
      </c>
      <c r="AT207" s="30">
        <v>9280</v>
      </c>
      <c r="AU207" s="30">
        <v>12430</v>
      </c>
      <c r="AV207" s="197">
        <v>3150</v>
      </c>
      <c r="AW207" s="197">
        <v>9280</v>
      </c>
      <c r="AX207" s="197">
        <v>12430</v>
      </c>
      <c r="AY207" s="203"/>
      <c r="AZ207" s="203"/>
      <c r="BA207" s="203">
        <v>0</v>
      </c>
      <c r="BB207" s="41" t="s">
        <v>1171</v>
      </c>
      <c r="BC207" s="191"/>
      <c r="BD207" s="190">
        <v>3</v>
      </c>
      <c r="BE207" s="30"/>
      <c r="BF207" s="186"/>
      <c r="BG207" s="183"/>
      <c r="BH207" s="183"/>
    </row>
    <row r="208" spans="1:60" ht="30" hidden="1" customHeight="1">
      <c r="A208" s="41" t="s">
        <v>228</v>
      </c>
      <c r="B208" s="116" t="s">
        <v>1172</v>
      </c>
      <c r="C208" s="116" t="s">
        <v>228</v>
      </c>
      <c r="D208" s="116"/>
      <c r="E208" s="117" t="s">
        <v>107</v>
      </c>
      <c r="F208" s="117" t="s">
        <v>108</v>
      </c>
      <c r="G208" s="116"/>
      <c r="H208" s="119"/>
      <c r="I208" s="118"/>
      <c r="J208" s="41" t="s">
        <v>110</v>
      </c>
      <c r="K208" s="41">
        <v>2</v>
      </c>
      <c r="L208" s="41" t="s">
        <v>110</v>
      </c>
      <c r="M208" s="41">
        <v>2</v>
      </c>
      <c r="N208" s="39"/>
      <c r="O208" s="39"/>
      <c r="P208" s="5" t="s">
        <v>111</v>
      </c>
      <c r="Q208" s="41"/>
      <c r="R208" s="41" t="s">
        <v>112</v>
      </c>
      <c r="S208" s="41">
        <v>3</v>
      </c>
      <c r="T208" s="41" t="s">
        <v>232</v>
      </c>
      <c r="U208" s="41"/>
      <c r="V208" s="41"/>
      <c r="W208" s="174">
        <v>45992</v>
      </c>
      <c r="X208" s="174">
        <v>45992</v>
      </c>
      <c r="Y208" s="41"/>
      <c r="Z208" s="42" t="s">
        <v>817</v>
      </c>
      <c r="AA208" s="37" t="s">
        <v>1173</v>
      </c>
      <c r="AB208" s="42" t="s">
        <v>118</v>
      </c>
      <c r="AC208" s="42" t="s">
        <v>262</v>
      </c>
      <c r="AD208" s="51"/>
      <c r="AE208" s="51"/>
      <c r="AF208" s="12">
        <f t="shared" si="6"/>
        <v>78</v>
      </c>
      <c r="AG208" s="7">
        <v>60</v>
      </c>
      <c r="AH208" s="7"/>
      <c r="AI208" s="7">
        <v>80</v>
      </c>
      <c r="AJ208" s="7"/>
      <c r="AK208" s="7">
        <v>100</v>
      </c>
      <c r="AL208" s="7"/>
      <c r="AM208" s="7">
        <v>100</v>
      </c>
      <c r="AN208" s="7"/>
      <c r="AO208" s="63">
        <v>5.8</v>
      </c>
      <c r="AP208" s="58">
        <v>1600</v>
      </c>
      <c r="AQ208" s="58">
        <f>AVERAGE(460,420)</f>
        <v>440</v>
      </c>
      <c r="AR208" s="58">
        <f>AVERAGE(460,420)</f>
        <v>440</v>
      </c>
      <c r="AS208" s="30">
        <v>30624</v>
      </c>
      <c r="AT208" s="30">
        <v>18560</v>
      </c>
      <c r="AU208" s="30">
        <v>49184</v>
      </c>
      <c r="AV208" s="197">
        <v>30624</v>
      </c>
      <c r="AW208" s="197">
        <v>18560</v>
      </c>
      <c r="AX208" s="197">
        <v>49184</v>
      </c>
      <c r="AY208" s="203"/>
      <c r="AZ208" s="203"/>
      <c r="BA208" s="203">
        <v>0</v>
      </c>
      <c r="BB208" s="41" t="s">
        <v>870</v>
      </c>
      <c r="BC208" s="191"/>
      <c r="BD208" s="190">
        <v>3</v>
      </c>
      <c r="BE208" s="30"/>
      <c r="BF208" s="186"/>
      <c r="BG208" s="183"/>
      <c r="BH208" s="183"/>
    </row>
    <row r="209" spans="1:60" ht="30" hidden="1" customHeight="1">
      <c r="A209" s="41" t="s">
        <v>476</v>
      </c>
      <c r="B209" s="116" t="s">
        <v>1174</v>
      </c>
      <c r="C209" s="116" t="s">
        <v>476</v>
      </c>
      <c r="D209" s="116"/>
      <c r="E209" s="117" t="s">
        <v>107</v>
      </c>
      <c r="F209" s="117" t="s">
        <v>108</v>
      </c>
      <c r="G209" s="116" t="s">
        <v>1175</v>
      </c>
      <c r="H209" s="119"/>
      <c r="I209" s="118"/>
      <c r="J209" s="41" t="s">
        <v>110</v>
      </c>
      <c r="K209" s="41">
        <v>2</v>
      </c>
      <c r="L209" s="41" t="s">
        <v>110</v>
      </c>
      <c r="M209" s="41">
        <v>2</v>
      </c>
      <c r="N209" s="39"/>
      <c r="O209" s="39"/>
      <c r="P209" s="5" t="s">
        <v>111</v>
      </c>
      <c r="Q209" s="41"/>
      <c r="R209" s="5" t="s">
        <v>112</v>
      </c>
      <c r="S209" s="41">
        <v>3</v>
      </c>
      <c r="T209" s="41" t="s">
        <v>139</v>
      </c>
      <c r="U209" s="41"/>
      <c r="V209" s="41"/>
      <c r="W209" s="174">
        <v>45992</v>
      </c>
      <c r="X209" s="174">
        <v>45992</v>
      </c>
      <c r="Y209" s="41"/>
      <c r="Z209" s="42" t="s">
        <v>817</v>
      </c>
      <c r="AA209" s="37" t="s">
        <v>1176</v>
      </c>
      <c r="AB209" s="42" t="s">
        <v>118</v>
      </c>
      <c r="AC209" s="42" t="s">
        <v>262</v>
      </c>
      <c r="AD209" s="51"/>
      <c r="AE209" s="51"/>
      <c r="AF209" s="12">
        <f t="shared" si="6"/>
        <v>78</v>
      </c>
      <c r="AG209" s="7">
        <v>60</v>
      </c>
      <c r="AH209" s="7"/>
      <c r="AI209" s="7">
        <v>80</v>
      </c>
      <c r="AJ209" s="7"/>
      <c r="AK209" s="7">
        <v>100</v>
      </c>
      <c r="AL209" s="7"/>
      <c r="AM209" s="7">
        <v>100</v>
      </c>
      <c r="AN209" s="7"/>
      <c r="AO209" s="63">
        <v>5.8</v>
      </c>
      <c r="AP209" s="58">
        <v>1600</v>
      </c>
      <c r="AQ209" s="58">
        <f>AVERAGE(460,420)</f>
        <v>440</v>
      </c>
      <c r="AR209" s="58">
        <f>AVERAGE(460,420)</f>
        <v>440</v>
      </c>
      <c r="AS209" s="30">
        <v>30624</v>
      </c>
      <c r="AT209" s="30">
        <v>18560</v>
      </c>
      <c r="AU209" s="30">
        <v>49184</v>
      </c>
      <c r="AV209" s="197">
        <v>30624</v>
      </c>
      <c r="AW209" s="197">
        <v>18560</v>
      </c>
      <c r="AX209" s="197">
        <v>49184</v>
      </c>
      <c r="AY209" s="203"/>
      <c r="AZ209" s="203"/>
      <c r="BA209" s="203">
        <v>0</v>
      </c>
      <c r="BB209" s="41" t="s">
        <v>870</v>
      </c>
      <c r="BC209" s="191"/>
      <c r="BD209" s="190">
        <v>3</v>
      </c>
      <c r="BE209" s="30"/>
      <c r="BF209" s="186"/>
      <c r="BG209" s="183"/>
      <c r="BH209" s="183"/>
    </row>
    <row r="210" spans="1:60" ht="30" hidden="1" customHeight="1">
      <c r="A210" s="41" t="s">
        <v>239</v>
      </c>
      <c r="B210" s="116" t="s">
        <v>1177</v>
      </c>
      <c r="C210" s="116" t="s">
        <v>1178</v>
      </c>
      <c r="D210" s="116"/>
      <c r="E210" s="117" t="s">
        <v>107</v>
      </c>
      <c r="F210" s="117" t="s">
        <v>108</v>
      </c>
      <c r="G210" s="116"/>
      <c r="H210" s="119"/>
      <c r="I210" s="118"/>
      <c r="J210" s="41" t="s">
        <v>110</v>
      </c>
      <c r="K210" s="41">
        <v>1</v>
      </c>
      <c r="L210" s="41" t="s">
        <v>110</v>
      </c>
      <c r="M210" s="41">
        <v>1</v>
      </c>
      <c r="N210" s="39" t="s">
        <v>115</v>
      </c>
      <c r="O210" s="39">
        <v>1</v>
      </c>
      <c r="P210" s="5" t="s">
        <v>111</v>
      </c>
      <c r="Q210" s="41"/>
      <c r="R210" s="41" t="s">
        <v>112</v>
      </c>
      <c r="S210" s="41">
        <v>4</v>
      </c>
      <c r="T210" s="41" t="s">
        <v>801</v>
      </c>
      <c r="U210" s="41"/>
      <c r="V210" s="41"/>
      <c r="W210" s="174">
        <v>45992</v>
      </c>
      <c r="X210" s="174">
        <v>45992</v>
      </c>
      <c r="Y210" s="41"/>
      <c r="Z210" s="42" t="s">
        <v>141</v>
      </c>
      <c r="AA210" s="37" t="s">
        <v>1179</v>
      </c>
      <c r="AB210" s="42" t="s">
        <v>118</v>
      </c>
      <c r="AC210" s="42" t="s">
        <v>700</v>
      </c>
      <c r="AD210" s="51"/>
      <c r="AE210" s="51"/>
      <c r="AF210" s="12">
        <f t="shared" si="6"/>
        <v>78</v>
      </c>
      <c r="AG210" s="7">
        <v>80</v>
      </c>
      <c r="AH210" s="7"/>
      <c r="AI210" s="7">
        <v>100</v>
      </c>
      <c r="AJ210" s="7" t="s">
        <v>1180</v>
      </c>
      <c r="AK210" s="7">
        <v>40</v>
      </c>
      <c r="AL210" s="7"/>
      <c r="AM210" s="7">
        <v>80</v>
      </c>
      <c r="AN210" s="7"/>
      <c r="AO210" s="63">
        <v>5.8</v>
      </c>
      <c r="AP210" s="58">
        <v>1600</v>
      </c>
      <c r="AQ210" s="58">
        <v>370</v>
      </c>
      <c r="AR210" s="58">
        <v>370</v>
      </c>
      <c r="AS210" s="30">
        <v>15022</v>
      </c>
      <c r="AT210" s="30">
        <v>9280</v>
      </c>
      <c r="AU210" s="30">
        <v>24302</v>
      </c>
      <c r="AV210" s="197">
        <v>15022</v>
      </c>
      <c r="AW210" s="197">
        <v>9280</v>
      </c>
      <c r="AX210" s="197">
        <v>24302</v>
      </c>
      <c r="AY210" s="203"/>
      <c r="AZ210" s="203"/>
      <c r="BA210" s="203">
        <v>0</v>
      </c>
      <c r="BB210" s="41" t="s">
        <v>1181</v>
      </c>
      <c r="BC210" s="191"/>
      <c r="BD210" s="190">
        <v>3</v>
      </c>
      <c r="BE210" s="30"/>
      <c r="BF210" s="186"/>
      <c r="BG210" s="183"/>
      <c r="BH210" s="183"/>
    </row>
    <row r="211" spans="1:60" ht="30" hidden="1" customHeight="1">
      <c r="A211" s="41" t="s">
        <v>1182</v>
      </c>
      <c r="B211" s="116" t="s">
        <v>1183</v>
      </c>
      <c r="C211" s="116" t="s">
        <v>1184</v>
      </c>
      <c r="D211" s="116"/>
      <c r="E211" s="117" t="s">
        <v>107</v>
      </c>
      <c r="F211" s="117" t="s">
        <v>108</v>
      </c>
      <c r="G211" s="116" t="s">
        <v>186</v>
      </c>
      <c r="H211" s="119"/>
      <c r="I211" s="118"/>
      <c r="J211" s="41" t="s">
        <v>110</v>
      </c>
      <c r="K211" s="41">
        <v>1</v>
      </c>
      <c r="L211" s="41" t="s">
        <v>110</v>
      </c>
      <c r="M211" s="41">
        <v>1</v>
      </c>
      <c r="N211" s="39" t="s">
        <v>115</v>
      </c>
      <c r="O211" s="39">
        <v>1</v>
      </c>
      <c r="P211" s="5" t="s">
        <v>111</v>
      </c>
      <c r="Q211" s="41"/>
      <c r="R211" s="41" t="s">
        <v>112</v>
      </c>
      <c r="S211" s="41">
        <v>3</v>
      </c>
      <c r="T211" s="41" t="s">
        <v>801</v>
      </c>
      <c r="U211" s="41"/>
      <c r="V211" s="41"/>
      <c r="W211" s="174">
        <v>45992</v>
      </c>
      <c r="X211" s="174">
        <v>45992</v>
      </c>
      <c r="Y211" s="41"/>
      <c r="Z211" s="42" t="s">
        <v>141</v>
      </c>
      <c r="AA211" s="37" t="s">
        <v>1185</v>
      </c>
      <c r="AB211" s="42"/>
      <c r="AC211" s="42" t="s">
        <v>119</v>
      </c>
      <c r="AD211" s="51"/>
      <c r="AE211" s="51"/>
      <c r="AF211" s="12">
        <f t="shared" si="6"/>
        <v>78</v>
      </c>
      <c r="AG211" s="7">
        <v>80</v>
      </c>
      <c r="AH211" s="7"/>
      <c r="AI211" s="7">
        <v>60</v>
      </c>
      <c r="AJ211" s="7"/>
      <c r="AK211" s="7">
        <v>100</v>
      </c>
      <c r="AL211" s="7"/>
      <c r="AM211" s="7">
        <v>80</v>
      </c>
      <c r="AN211" s="7"/>
      <c r="AO211" s="63">
        <v>5.8</v>
      </c>
      <c r="AP211" s="58">
        <v>1600</v>
      </c>
      <c r="AQ211" s="58">
        <v>420</v>
      </c>
      <c r="AR211" s="58">
        <v>420</v>
      </c>
      <c r="AS211" s="30">
        <v>14616</v>
      </c>
      <c r="AT211" s="30">
        <v>9280</v>
      </c>
      <c r="AU211" s="30">
        <v>23896</v>
      </c>
      <c r="AV211" s="197">
        <v>14616</v>
      </c>
      <c r="AW211" s="197">
        <v>9280</v>
      </c>
      <c r="AX211" s="197">
        <v>23896</v>
      </c>
      <c r="AY211" s="203"/>
      <c r="AZ211" s="203"/>
      <c r="BA211" s="203">
        <v>0</v>
      </c>
      <c r="BB211" s="41"/>
      <c r="BC211" s="191"/>
      <c r="BD211" s="190">
        <v>3</v>
      </c>
      <c r="BE211" s="30"/>
      <c r="BF211" s="186"/>
      <c r="BG211" s="183"/>
      <c r="BH211" s="183"/>
    </row>
    <row r="212" spans="1:60" ht="30" hidden="1" customHeight="1">
      <c r="A212" s="41" t="s">
        <v>476</v>
      </c>
      <c r="B212" s="116" t="s">
        <v>1186</v>
      </c>
      <c r="C212" s="116" t="s">
        <v>1187</v>
      </c>
      <c r="D212" s="116"/>
      <c r="E212" s="117" t="s">
        <v>107</v>
      </c>
      <c r="F212" s="117" t="s">
        <v>108</v>
      </c>
      <c r="G212" s="116"/>
      <c r="H212" s="119"/>
      <c r="I212" s="118"/>
      <c r="J212" s="41" t="s">
        <v>110</v>
      </c>
      <c r="K212" s="41">
        <v>2</v>
      </c>
      <c r="L212" s="41" t="s">
        <v>110</v>
      </c>
      <c r="M212" s="41">
        <v>2</v>
      </c>
      <c r="N212" s="39"/>
      <c r="O212" s="39"/>
      <c r="P212" s="5" t="s">
        <v>111</v>
      </c>
      <c r="Q212" s="41"/>
      <c r="R212" s="5" t="s">
        <v>112</v>
      </c>
      <c r="S212" s="41">
        <v>3</v>
      </c>
      <c r="T212" s="41" t="s">
        <v>139</v>
      </c>
      <c r="U212" s="41"/>
      <c r="V212" s="41"/>
      <c r="W212" s="174">
        <v>45992</v>
      </c>
      <c r="X212" s="174">
        <v>45992</v>
      </c>
      <c r="Y212" s="41"/>
      <c r="Z212" s="42" t="s">
        <v>1188</v>
      </c>
      <c r="AA212" s="37" t="s">
        <v>1189</v>
      </c>
      <c r="AB212" s="42" t="s">
        <v>118</v>
      </c>
      <c r="AC212" s="42" t="s">
        <v>262</v>
      </c>
      <c r="AD212" s="51"/>
      <c r="AE212" s="51"/>
      <c r="AF212" s="12">
        <f t="shared" si="6"/>
        <v>78</v>
      </c>
      <c r="AG212" s="7">
        <v>60</v>
      </c>
      <c r="AH212" s="7"/>
      <c r="AI212" s="7">
        <v>80</v>
      </c>
      <c r="AJ212" s="7"/>
      <c r="AK212" s="7">
        <v>100</v>
      </c>
      <c r="AL212" s="7"/>
      <c r="AM212" s="7">
        <v>100</v>
      </c>
      <c r="AN212" s="7"/>
      <c r="AO212" s="63">
        <v>5.8</v>
      </c>
      <c r="AP212" s="58">
        <v>1600</v>
      </c>
      <c r="AQ212" s="58">
        <v>420</v>
      </c>
      <c r="AR212" s="58">
        <v>420</v>
      </c>
      <c r="AS212" s="30">
        <v>29232</v>
      </c>
      <c r="AT212" s="30">
        <v>18560</v>
      </c>
      <c r="AU212" s="30">
        <v>47792</v>
      </c>
      <c r="AV212" s="197">
        <v>29232</v>
      </c>
      <c r="AW212" s="197">
        <v>18560</v>
      </c>
      <c r="AX212" s="197">
        <v>47792</v>
      </c>
      <c r="AY212" s="203"/>
      <c r="AZ212" s="203"/>
      <c r="BA212" s="203">
        <v>0</v>
      </c>
      <c r="BB212" s="41" t="s">
        <v>1190</v>
      </c>
      <c r="BC212" s="191"/>
      <c r="BD212" s="190">
        <v>3</v>
      </c>
      <c r="BE212" s="30"/>
      <c r="BF212" s="186"/>
      <c r="BG212" s="183"/>
      <c r="BH212" s="183"/>
    </row>
    <row r="213" spans="1:60" ht="30" hidden="1" customHeight="1">
      <c r="A213" s="41" t="s">
        <v>122</v>
      </c>
      <c r="B213" s="116" t="s">
        <v>1191</v>
      </c>
      <c r="C213" s="116"/>
      <c r="D213" s="116" t="s">
        <v>1192</v>
      </c>
      <c r="E213" s="117" t="s">
        <v>107</v>
      </c>
      <c r="F213" s="117" t="s">
        <v>340</v>
      </c>
      <c r="G213" s="116"/>
      <c r="H213" s="119"/>
      <c r="I213" s="118" t="s">
        <v>341</v>
      </c>
      <c r="J213" s="41" t="s">
        <v>110</v>
      </c>
      <c r="K213" s="41">
        <v>1</v>
      </c>
      <c r="L213" s="41" t="s">
        <v>110</v>
      </c>
      <c r="M213" s="41">
        <v>1</v>
      </c>
      <c r="N213" s="39" t="s">
        <v>115</v>
      </c>
      <c r="O213" s="39">
        <v>1</v>
      </c>
      <c r="P213" s="5" t="s">
        <v>111</v>
      </c>
      <c r="Q213" s="41"/>
      <c r="R213" s="41" t="s">
        <v>112</v>
      </c>
      <c r="S213" s="41">
        <v>4</v>
      </c>
      <c r="T213" s="5" t="s">
        <v>218</v>
      </c>
      <c r="U213" s="41" t="s">
        <v>219</v>
      </c>
      <c r="V213" s="41"/>
      <c r="W213" s="174">
        <v>45831</v>
      </c>
      <c r="X213" s="174">
        <v>45835</v>
      </c>
      <c r="Y213" s="41"/>
      <c r="Z213" s="42" t="s">
        <v>116</v>
      </c>
      <c r="AA213" s="37" t="s">
        <v>1135</v>
      </c>
      <c r="AB213" s="42" t="s">
        <v>118</v>
      </c>
      <c r="AC213" s="42" t="s">
        <v>119</v>
      </c>
      <c r="AD213" s="51"/>
      <c r="AE213" s="51"/>
      <c r="AF213" s="12">
        <f t="shared" si="6"/>
        <v>80</v>
      </c>
      <c r="AG213" s="7">
        <v>80</v>
      </c>
      <c r="AH213" s="7"/>
      <c r="AI213" s="7">
        <v>80</v>
      </c>
      <c r="AJ213" s="7" t="s">
        <v>1081</v>
      </c>
      <c r="AK213" s="7">
        <v>80</v>
      </c>
      <c r="AL213" s="7"/>
      <c r="AM213" s="7">
        <v>80</v>
      </c>
      <c r="AN213" s="7"/>
      <c r="AO213" s="63">
        <v>5.8</v>
      </c>
      <c r="AP213" s="58">
        <v>1600</v>
      </c>
      <c r="AQ213" s="58">
        <v>320</v>
      </c>
      <c r="AR213" s="58">
        <v>320</v>
      </c>
      <c r="AS213" s="30">
        <v>12992</v>
      </c>
      <c r="AT213" s="30">
        <v>9280</v>
      </c>
      <c r="AU213" s="30">
        <v>22272</v>
      </c>
      <c r="AV213" s="197">
        <v>12992</v>
      </c>
      <c r="AW213" s="197">
        <v>9280</v>
      </c>
      <c r="AX213" s="197">
        <v>22272</v>
      </c>
      <c r="AY213" s="203">
        <v>12744.1</v>
      </c>
      <c r="AZ213" s="203">
        <v>8040.66</v>
      </c>
      <c r="BA213" s="203">
        <f>12744.1+8040.66</f>
        <v>20784.760000000002</v>
      </c>
      <c r="BB213" s="41" t="s">
        <v>1136</v>
      </c>
      <c r="BC213" s="191" t="s">
        <v>1193</v>
      </c>
      <c r="BD213" s="190">
        <v>3</v>
      </c>
      <c r="BE213" s="30"/>
      <c r="BF213" s="186"/>
      <c r="BG213" s="183"/>
      <c r="BH213" s="183"/>
    </row>
    <row r="214" spans="1:60" ht="30" customHeight="1">
      <c r="A214" s="41" t="s">
        <v>192</v>
      </c>
      <c r="B214" s="116" t="s">
        <v>1194</v>
      </c>
      <c r="C214" s="116" t="s">
        <v>1195</v>
      </c>
      <c r="D214" s="116"/>
      <c r="E214" s="117" t="s">
        <v>195</v>
      </c>
      <c r="F214" s="117" t="s">
        <v>166</v>
      </c>
      <c r="G214" s="116" t="s">
        <v>1196</v>
      </c>
      <c r="H214" s="119"/>
      <c r="I214" s="118"/>
      <c r="J214" s="41" t="s">
        <v>110</v>
      </c>
      <c r="K214" s="41">
        <v>2</v>
      </c>
      <c r="L214" s="41" t="s">
        <v>110</v>
      </c>
      <c r="M214" s="41">
        <v>2</v>
      </c>
      <c r="N214" s="39" t="s">
        <v>115</v>
      </c>
      <c r="O214" s="39">
        <v>1</v>
      </c>
      <c r="P214" s="5" t="s">
        <v>111</v>
      </c>
      <c r="Q214" s="41"/>
      <c r="R214" s="41" t="s">
        <v>112</v>
      </c>
      <c r="S214" s="41">
        <v>3</v>
      </c>
      <c r="T214" s="41" t="s">
        <v>1197</v>
      </c>
      <c r="U214" s="41"/>
      <c r="V214" s="41"/>
      <c r="W214" s="174">
        <v>45992</v>
      </c>
      <c r="X214" s="174">
        <v>45992</v>
      </c>
      <c r="Y214" s="41"/>
      <c r="Z214" s="42" t="s">
        <v>817</v>
      </c>
      <c r="AA214" s="37" t="s">
        <v>1198</v>
      </c>
      <c r="AB214" s="42" t="s">
        <v>118</v>
      </c>
      <c r="AC214" s="42"/>
      <c r="AD214" s="51"/>
      <c r="AE214" s="51"/>
      <c r="AF214" s="12">
        <f t="shared" si="6"/>
        <v>78</v>
      </c>
      <c r="AG214" s="7">
        <v>60</v>
      </c>
      <c r="AH214" s="7"/>
      <c r="AI214" s="7">
        <v>80</v>
      </c>
      <c r="AJ214" s="7"/>
      <c r="AK214" s="7">
        <v>100</v>
      </c>
      <c r="AL214" s="7"/>
      <c r="AM214" s="7">
        <v>100</v>
      </c>
      <c r="AN214" s="7"/>
      <c r="AO214" s="63">
        <v>5.8</v>
      </c>
      <c r="AP214" s="58">
        <v>1600</v>
      </c>
      <c r="AQ214" s="58">
        <f>AVERAGE(350,330)</f>
        <v>340</v>
      </c>
      <c r="AR214" s="58">
        <f>AVERAGE(350,330)</f>
        <v>340</v>
      </c>
      <c r="AS214" s="30">
        <v>23664</v>
      </c>
      <c r="AT214" s="30">
        <v>18560</v>
      </c>
      <c r="AU214" s="30">
        <v>42224</v>
      </c>
      <c r="AV214" s="197">
        <v>23664</v>
      </c>
      <c r="AW214" s="197">
        <v>18560</v>
      </c>
      <c r="AX214" s="197">
        <v>42224</v>
      </c>
      <c r="AY214" s="203"/>
      <c r="AZ214" s="203"/>
      <c r="BA214" s="203">
        <v>0</v>
      </c>
      <c r="BB214" s="41"/>
      <c r="BC214" s="191"/>
      <c r="BD214" s="190">
        <v>3</v>
      </c>
      <c r="BE214" s="30"/>
      <c r="BF214" s="186"/>
      <c r="BG214" s="183"/>
      <c r="BH214" s="183"/>
    </row>
    <row r="215" spans="1:60" ht="30" hidden="1" customHeight="1">
      <c r="A215" s="41" t="s">
        <v>122</v>
      </c>
      <c r="B215" s="116" t="s">
        <v>1199</v>
      </c>
      <c r="C215" s="116" t="s">
        <v>1200</v>
      </c>
      <c r="D215" s="116"/>
      <c r="E215" s="117" t="s">
        <v>402</v>
      </c>
      <c r="F215" s="117" t="s">
        <v>396</v>
      </c>
      <c r="G215" s="116" t="s">
        <v>1201</v>
      </c>
      <c r="H215" s="119" t="s">
        <v>591</v>
      </c>
      <c r="I215" s="118"/>
      <c r="J215" s="41" t="s">
        <v>110</v>
      </c>
      <c r="K215" s="41">
        <v>2</v>
      </c>
      <c r="L215" s="41" t="s">
        <v>110</v>
      </c>
      <c r="M215" s="41">
        <v>2</v>
      </c>
      <c r="N215" s="39"/>
      <c r="O215" s="39"/>
      <c r="P215" s="5" t="s">
        <v>111</v>
      </c>
      <c r="Q215" s="41"/>
      <c r="R215" s="41" t="s">
        <v>112</v>
      </c>
      <c r="S215" s="41">
        <v>3</v>
      </c>
      <c r="T215" s="41" t="s">
        <v>801</v>
      </c>
      <c r="U215" s="41"/>
      <c r="V215" s="41"/>
      <c r="W215" s="174">
        <v>45992</v>
      </c>
      <c r="X215" s="174">
        <v>45992</v>
      </c>
      <c r="Y215" s="41"/>
      <c r="Z215" s="42" t="s">
        <v>313</v>
      </c>
      <c r="AA215" s="42" t="s">
        <v>1202</v>
      </c>
      <c r="AB215" s="42" t="s">
        <v>1203</v>
      </c>
      <c r="AC215" s="42"/>
      <c r="AD215" s="42"/>
      <c r="AE215" s="42"/>
      <c r="AF215" s="12">
        <f t="shared" si="6"/>
        <v>76</v>
      </c>
      <c r="AG215" s="39">
        <v>60</v>
      </c>
      <c r="AH215" s="39"/>
      <c r="AI215" s="39">
        <v>80</v>
      </c>
      <c r="AJ215" s="39"/>
      <c r="AK215" s="39">
        <v>100</v>
      </c>
      <c r="AL215" s="39"/>
      <c r="AM215" s="39">
        <v>80</v>
      </c>
      <c r="AN215" s="39"/>
      <c r="AO215" s="63">
        <v>5.8</v>
      </c>
      <c r="AP215" s="58">
        <v>1600</v>
      </c>
      <c r="AQ215" s="58">
        <v>460</v>
      </c>
      <c r="AR215" s="58">
        <v>460</v>
      </c>
      <c r="AS215" s="30">
        <v>32016</v>
      </c>
      <c r="AT215" s="30">
        <v>18560</v>
      </c>
      <c r="AU215" s="30">
        <v>50576</v>
      </c>
      <c r="AV215" s="197">
        <v>32016</v>
      </c>
      <c r="AW215" s="197">
        <v>18560</v>
      </c>
      <c r="AX215" s="197">
        <v>50576</v>
      </c>
      <c r="AY215" s="203"/>
      <c r="AZ215" s="203"/>
      <c r="BA215" s="203">
        <v>0</v>
      </c>
      <c r="BB215" s="41" t="s">
        <v>1204</v>
      </c>
      <c r="BC215" s="191"/>
      <c r="BD215" s="190">
        <v>3</v>
      </c>
      <c r="BE215" s="30"/>
      <c r="BF215" s="186"/>
      <c r="BG215" s="183"/>
      <c r="BH215" s="183"/>
    </row>
    <row r="216" spans="1:60" ht="30" customHeight="1">
      <c r="A216" s="41" t="s">
        <v>735</v>
      </c>
      <c r="B216" s="116" t="s">
        <v>1205</v>
      </c>
      <c r="C216" s="116" t="s">
        <v>737</v>
      </c>
      <c r="D216" s="116" t="s">
        <v>1206</v>
      </c>
      <c r="E216" s="117" t="s">
        <v>195</v>
      </c>
      <c r="F216" s="117" t="s">
        <v>166</v>
      </c>
      <c r="G216" s="116" t="s">
        <v>1207</v>
      </c>
      <c r="H216" s="119"/>
      <c r="I216" s="118" t="s">
        <v>129</v>
      </c>
      <c r="J216" s="41" t="s">
        <v>110</v>
      </c>
      <c r="K216" s="41">
        <v>1</v>
      </c>
      <c r="L216" s="41" t="s">
        <v>110</v>
      </c>
      <c r="M216" s="41">
        <v>1</v>
      </c>
      <c r="N216" s="7" t="s">
        <v>115</v>
      </c>
      <c r="O216" s="39">
        <v>1</v>
      </c>
      <c r="P216" s="5" t="s">
        <v>111</v>
      </c>
      <c r="Q216" s="41">
        <v>1</v>
      </c>
      <c r="R216" s="41" t="s">
        <v>112</v>
      </c>
      <c r="S216" s="41">
        <v>2</v>
      </c>
      <c r="T216" s="41" t="s">
        <v>295</v>
      </c>
      <c r="U216" s="41" t="s">
        <v>296</v>
      </c>
      <c r="V216" s="5" t="s">
        <v>115</v>
      </c>
      <c r="W216" s="174">
        <v>45771</v>
      </c>
      <c r="X216" s="174">
        <v>45771</v>
      </c>
      <c r="Y216" s="41"/>
      <c r="Z216" s="42" t="s">
        <v>817</v>
      </c>
      <c r="AA216" s="37" t="s">
        <v>1208</v>
      </c>
      <c r="AB216" s="42" t="s">
        <v>118</v>
      </c>
      <c r="AC216" s="42"/>
      <c r="AD216" s="51"/>
      <c r="AE216" s="51"/>
      <c r="AF216" s="12">
        <f t="shared" si="6"/>
        <v>76</v>
      </c>
      <c r="AG216" s="7">
        <v>80</v>
      </c>
      <c r="AH216" s="7"/>
      <c r="AI216" s="7">
        <v>60</v>
      </c>
      <c r="AJ216" s="7" t="s">
        <v>1209</v>
      </c>
      <c r="AK216" s="7">
        <v>80</v>
      </c>
      <c r="AL216" s="7"/>
      <c r="AM216" s="7">
        <v>100</v>
      </c>
      <c r="AN216" s="7" t="s">
        <v>865</v>
      </c>
      <c r="AO216" s="63">
        <v>5.8</v>
      </c>
      <c r="AP216" s="58">
        <v>800</v>
      </c>
      <c r="AQ216" s="58">
        <v>280</v>
      </c>
      <c r="AR216" s="58">
        <v>280</v>
      </c>
      <c r="AS216" s="30">
        <v>6496</v>
      </c>
      <c r="AT216" s="30">
        <v>4640</v>
      </c>
      <c r="AU216" s="30">
        <v>11136</v>
      </c>
      <c r="AV216" s="197">
        <v>6496</v>
      </c>
      <c r="AW216" s="197">
        <v>4640</v>
      </c>
      <c r="AX216" s="197">
        <v>11136</v>
      </c>
      <c r="AY216" s="203">
        <v>4727.1899999999996</v>
      </c>
      <c r="AZ216" s="203">
        <v>4062.1</v>
      </c>
      <c r="BA216" s="203">
        <f>4727.19+4062.1</f>
        <v>8789.2899999999991</v>
      </c>
      <c r="BB216" s="41" t="s">
        <v>1210</v>
      </c>
      <c r="BC216" s="191" t="s">
        <v>1211</v>
      </c>
      <c r="BD216" s="190">
        <v>2</v>
      </c>
      <c r="BE216" s="30"/>
      <c r="BF216" s="186"/>
      <c r="BG216" s="183"/>
      <c r="BH216" s="183"/>
    </row>
    <row r="217" spans="1:60" ht="30" customHeight="1">
      <c r="A217" s="41" t="s">
        <v>735</v>
      </c>
      <c r="B217" s="116" t="s">
        <v>1205</v>
      </c>
      <c r="C217" s="116" t="s">
        <v>737</v>
      </c>
      <c r="D217" s="116" t="s">
        <v>1206</v>
      </c>
      <c r="E217" s="117" t="s">
        <v>195</v>
      </c>
      <c r="F217" s="117" t="s">
        <v>166</v>
      </c>
      <c r="G217" s="116" t="s">
        <v>1207</v>
      </c>
      <c r="H217" s="119"/>
      <c r="I217" s="118" t="s">
        <v>129</v>
      </c>
      <c r="J217" s="41"/>
      <c r="K217" s="5"/>
      <c r="L217" s="41" t="s">
        <v>110</v>
      </c>
      <c r="M217" s="41">
        <v>0</v>
      </c>
      <c r="N217" s="7" t="s">
        <v>115</v>
      </c>
      <c r="O217" s="39">
        <v>1</v>
      </c>
      <c r="P217" s="5" t="s">
        <v>111</v>
      </c>
      <c r="Q217" s="41">
        <v>1</v>
      </c>
      <c r="R217" s="41" t="s">
        <v>112</v>
      </c>
      <c r="S217" s="41">
        <v>2</v>
      </c>
      <c r="T217" s="41" t="s">
        <v>295</v>
      </c>
      <c r="U217" s="41" t="s">
        <v>296</v>
      </c>
      <c r="V217" s="5" t="s">
        <v>115</v>
      </c>
      <c r="W217" s="174">
        <v>45771</v>
      </c>
      <c r="X217" s="174">
        <v>45771</v>
      </c>
      <c r="Y217" s="41"/>
      <c r="Z217" s="42" t="s">
        <v>817</v>
      </c>
      <c r="AA217" s="37" t="s">
        <v>1208</v>
      </c>
      <c r="AB217" s="42" t="s">
        <v>118</v>
      </c>
      <c r="AC217" s="3"/>
      <c r="AD217" s="50"/>
      <c r="AE217" s="50"/>
      <c r="AF217" s="12">
        <f t="shared" si="6"/>
        <v>76</v>
      </c>
      <c r="AG217" s="7">
        <v>80</v>
      </c>
      <c r="AH217" s="7"/>
      <c r="AI217" s="7">
        <v>60</v>
      </c>
      <c r="AJ217" s="7" t="s">
        <v>1209</v>
      </c>
      <c r="AK217" s="7">
        <v>80</v>
      </c>
      <c r="AL217" s="7"/>
      <c r="AM217" s="7">
        <v>100</v>
      </c>
      <c r="AN217" s="7" t="s">
        <v>865</v>
      </c>
      <c r="AO217" s="63">
        <v>5.8</v>
      </c>
      <c r="AP217" s="58">
        <v>800</v>
      </c>
      <c r="AQ217" s="58">
        <v>280</v>
      </c>
      <c r="AR217" s="58">
        <v>280</v>
      </c>
      <c r="AS217" s="30">
        <v>6496</v>
      </c>
      <c r="AT217" s="30">
        <v>4640</v>
      </c>
      <c r="AU217" s="30">
        <v>11136</v>
      </c>
      <c r="AV217" s="197">
        <v>6496</v>
      </c>
      <c r="AW217" s="197">
        <v>4640</v>
      </c>
      <c r="AX217" s="197">
        <v>11136</v>
      </c>
      <c r="AY217" s="203">
        <v>4448.8</v>
      </c>
      <c r="AZ217" s="203">
        <v>4131.6899999999996</v>
      </c>
      <c r="BA217" s="203">
        <f>4448.8+4131.69</f>
        <v>8580.49</v>
      </c>
      <c r="BB217" s="189" t="s">
        <v>1212</v>
      </c>
      <c r="BC217" s="191" t="s">
        <v>1211</v>
      </c>
      <c r="BD217" s="193"/>
      <c r="BE217" s="30"/>
      <c r="BF217" s="186"/>
      <c r="BG217" s="183"/>
      <c r="BH217" s="183"/>
    </row>
    <row r="218" spans="1:60" ht="30" customHeight="1">
      <c r="A218" s="41" t="s">
        <v>735</v>
      </c>
      <c r="B218" s="116" t="s">
        <v>1213</v>
      </c>
      <c r="C218" s="116" t="s">
        <v>737</v>
      </c>
      <c r="D218" s="116"/>
      <c r="E218" s="117" t="s">
        <v>195</v>
      </c>
      <c r="F218" s="117" t="s">
        <v>166</v>
      </c>
      <c r="G218" s="116" t="s">
        <v>1207</v>
      </c>
      <c r="H218" s="119"/>
      <c r="I218" s="118"/>
      <c r="J218" s="41" t="s">
        <v>110</v>
      </c>
      <c r="K218" s="41">
        <v>1</v>
      </c>
      <c r="L218" s="41" t="s">
        <v>110</v>
      </c>
      <c r="M218" s="41">
        <v>1</v>
      </c>
      <c r="N218" s="39" t="s">
        <v>115</v>
      </c>
      <c r="O218" s="39">
        <v>1</v>
      </c>
      <c r="P218" s="5" t="s">
        <v>111</v>
      </c>
      <c r="Q218" s="41"/>
      <c r="R218" s="41" t="s">
        <v>112</v>
      </c>
      <c r="S218" s="41">
        <v>2</v>
      </c>
      <c r="T218" s="41" t="s">
        <v>924</v>
      </c>
      <c r="U218" s="41"/>
      <c r="V218" s="41" t="s">
        <v>115</v>
      </c>
      <c r="W218" s="174">
        <v>45992</v>
      </c>
      <c r="X218" s="174">
        <v>45992</v>
      </c>
      <c r="Y218" s="41"/>
      <c r="Z218" s="42" t="s">
        <v>817</v>
      </c>
      <c r="AA218" s="37" t="s">
        <v>1208</v>
      </c>
      <c r="AB218" s="42" t="s">
        <v>118</v>
      </c>
      <c r="AC218" s="42"/>
      <c r="AD218" s="51"/>
      <c r="AE218" s="51"/>
      <c r="AF218" s="12">
        <f t="shared" si="6"/>
        <v>76</v>
      </c>
      <c r="AG218" s="7">
        <v>80</v>
      </c>
      <c r="AH218" s="7"/>
      <c r="AI218" s="7">
        <v>60</v>
      </c>
      <c r="AJ218" s="7" t="s">
        <v>1209</v>
      </c>
      <c r="AK218" s="7">
        <v>80</v>
      </c>
      <c r="AL218" s="7"/>
      <c r="AM218" s="7">
        <v>100</v>
      </c>
      <c r="AN218" s="7" t="s">
        <v>865</v>
      </c>
      <c r="AO218" s="63">
        <v>5.8</v>
      </c>
      <c r="AP218" s="58">
        <v>800</v>
      </c>
      <c r="AQ218" s="58">
        <v>280</v>
      </c>
      <c r="AR218" s="58">
        <v>280</v>
      </c>
      <c r="AS218" s="30">
        <v>6496</v>
      </c>
      <c r="AT218" s="30">
        <v>4640</v>
      </c>
      <c r="AU218" s="30">
        <v>11136</v>
      </c>
      <c r="AV218" s="197">
        <v>6496</v>
      </c>
      <c r="AW218" s="197">
        <v>4640</v>
      </c>
      <c r="AX218" s="197">
        <v>11136</v>
      </c>
      <c r="AY218" s="203"/>
      <c r="AZ218" s="203"/>
      <c r="BA218" s="203">
        <v>0</v>
      </c>
      <c r="BB218" s="41"/>
      <c r="BC218" s="191"/>
      <c r="BD218" s="190">
        <v>2</v>
      </c>
      <c r="BE218" s="30"/>
      <c r="BF218" s="186"/>
      <c r="BG218" s="183"/>
      <c r="BH218" s="183"/>
    </row>
    <row r="219" spans="1:60" ht="30" hidden="1" customHeight="1">
      <c r="A219" s="41" t="s">
        <v>421</v>
      </c>
      <c r="B219" s="116" t="s">
        <v>1214</v>
      </c>
      <c r="C219" s="116" t="s">
        <v>442</v>
      </c>
      <c r="D219" s="116"/>
      <c r="E219" s="117" t="s">
        <v>107</v>
      </c>
      <c r="F219" s="117" t="s">
        <v>108</v>
      </c>
      <c r="G219" s="116"/>
      <c r="H219" s="119"/>
      <c r="I219" s="118"/>
      <c r="J219" s="41" t="s">
        <v>110</v>
      </c>
      <c r="K219" s="41">
        <v>2</v>
      </c>
      <c r="L219" s="41" t="s">
        <v>110</v>
      </c>
      <c r="M219" s="41">
        <v>1</v>
      </c>
      <c r="N219" s="39" t="s">
        <v>115</v>
      </c>
      <c r="O219" s="39">
        <v>1</v>
      </c>
      <c r="P219" s="5" t="s">
        <v>111</v>
      </c>
      <c r="Q219" s="41"/>
      <c r="R219" s="41" t="s">
        <v>112</v>
      </c>
      <c r="S219" s="41">
        <v>3</v>
      </c>
      <c r="T219" s="41" t="s">
        <v>139</v>
      </c>
      <c r="U219" s="41"/>
      <c r="V219" s="41"/>
      <c r="W219" s="174">
        <v>45992</v>
      </c>
      <c r="X219" s="174">
        <v>45992</v>
      </c>
      <c r="Y219" s="41"/>
      <c r="Z219" s="42" t="s">
        <v>116</v>
      </c>
      <c r="AA219" s="37" t="s">
        <v>1215</v>
      </c>
      <c r="AB219" s="42" t="s">
        <v>118</v>
      </c>
      <c r="AC219" s="42" t="s">
        <v>427</v>
      </c>
      <c r="AD219" s="51"/>
      <c r="AE219" s="51"/>
      <c r="AF219" s="12">
        <f t="shared" si="6"/>
        <v>76</v>
      </c>
      <c r="AG219" s="7">
        <v>80</v>
      </c>
      <c r="AH219" s="7"/>
      <c r="AI219" s="7">
        <v>80</v>
      </c>
      <c r="AJ219" s="7"/>
      <c r="AK219" s="7">
        <v>60</v>
      </c>
      <c r="AL219" s="7"/>
      <c r="AM219" s="7">
        <v>80</v>
      </c>
      <c r="AN219" s="7"/>
      <c r="AO219" s="63">
        <v>5.8</v>
      </c>
      <c r="AP219" s="58">
        <v>1600</v>
      </c>
      <c r="AQ219" s="58">
        <v>420</v>
      </c>
      <c r="AR219" s="58">
        <v>420</v>
      </c>
      <c r="AS219" s="30">
        <v>29232</v>
      </c>
      <c r="AT219" s="30">
        <v>18560</v>
      </c>
      <c r="AU219" s="30">
        <v>47792</v>
      </c>
      <c r="AV219" s="197">
        <v>14616</v>
      </c>
      <c r="AW219" s="197">
        <v>9280</v>
      </c>
      <c r="AX219" s="197">
        <v>23896</v>
      </c>
      <c r="AY219" s="203"/>
      <c r="AZ219" s="203"/>
      <c r="BA219" s="203">
        <v>0</v>
      </c>
      <c r="BB219" s="41" t="s">
        <v>1216</v>
      </c>
      <c r="BC219" s="191"/>
      <c r="BD219" s="190">
        <v>3</v>
      </c>
      <c r="BE219" s="30"/>
      <c r="BF219" s="186"/>
      <c r="BG219" s="183"/>
      <c r="BH219" s="183"/>
    </row>
    <row r="220" spans="1:60" ht="30" hidden="1" customHeight="1">
      <c r="A220" s="41" t="s">
        <v>421</v>
      </c>
      <c r="B220" s="116" t="s">
        <v>1217</v>
      </c>
      <c r="C220" s="116" t="s">
        <v>1115</v>
      </c>
      <c r="D220" s="116"/>
      <c r="E220" s="117" t="s">
        <v>107</v>
      </c>
      <c r="F220" s="117" t="s">
        <v>108</v>
      </c>
      <c r="G220" s="116"/>
      <c r="H220" s="119"/>
      <c r="I220" s="118"/>
      <c r="J220" s="41" t="s">
        <v>110</v>
      </c>
      <c r="K220" s="41">
        <v>2</v>
      </c>
      <c r="L220" s="41" t="s">
        <v>110</v>
      </c>
      <c r="M220" s="41">
        <v>1</v>
      </c>
      <c r="N220" s="39" t="s">
        <v>115</v>
      </c>
      <c r="O220" s="39">
        <v>1</v>
      </c>
      <c r="P220" s="5" t="s">
        <v>111</v>
      </c>
      <c r="Q220" s="41"/>
      <c r="R220" s="41" t="s">
        <v>112</v>
      </c>
      <c r="S220" s="41">
        <v>3</v>
      </c>
      <c r="T220" s="41" t="s">
        <v>1218</v>
      </c>
      <c r="U220" s="41"/>
      <c r="V220" s="41"/>
      <c r="W220" s="174">
        <v>45992</v>
      </c>
      <c r="X220" s="174">
        <v>45992</v>
      </c>
      <c r="Y220" s="41"/>
      <c r="Z220" s="42" t="s">
        <v>116</v>
      </c>
      <c r="AA220" s="37" t="s">
        <v>1215</v>
      </c>
      <c r="AB220" s="42" t="s">
        <v>118</v>
      </c>
      <c r="AC220" s="42" t="s">
        <v>427</v>
      </c>
      <c r="AD220" s="51"/>
      <c r="AE220" s="51"/>
      <c r="AF220" s="12">
        <f t="shared" si="6"/>
        <v>76</v>
      </c>
      <c r="AG220" s="7">
        <v>80</v>
      </c>
      <c r="AH220" s="7"/>
      <c r="AI220" s="7">
        <v>80</v>
      </c>
      <c r="AJ220" s="7"/>
      <c r="AK220" s="7">
        <v>60</v>
      </c>
      <c r="AL220" s="7"/>
      <c r="AM220" s="7">
        <v>80</v>
      </c>
      <c r="AN220" s="7"/>
      <c r="AO220" s="63">
        <v>5.8</v>
      </c>
      <c r="AP220" s="58">
        <v>1600</v>
      </c>
      <c r="AQ220" s="58">
        <v>420</v>
      </c>
      <c r="AR220" s="58">
        <v>420</v>
      </c>
      <c r="AS220" s="30">
        <v>29232</v>
      </c>
      <c r="AT220" s="30">
        <v>18560</v>
      </c>
      <c r="AU220" s="30">
        <v>47792</v>
      </c>
      <c r="AV220" s="197">
        <v>14616</v>
      </c>
      <c r="AW220" s="197">
        <v>9280</v>
      </c>
      <c r="AX220" s="197">
        <v>23896</v>
      </c>
      <c r="AY220" s="203"/>
      <c r="AZ220" s="203"/>
      <c r="BA220" s="203">
        <v>0</v>
      </c>
      <c r="BB220" s="41" t="s">
        <v>1216</v>
      </c>
      <c r="BC220" s="191"/>
      <c r="BD220" s="190">
        <v>3</v>
      </c>
      <c r="BE220" s="30"/>
      <c r="BF220" s="186"/>
      <c r="BG220" s="183"/>
      <c r="BH220" s="183"/>
    </row>
    <row r="221" spans="1:60" ht="30" hidden="1" customHeight="1">
      <c r="A221" s="41" t="s">
        <v>135</v>
      </c>
      <c r="B221" s="116" t="s">
        <v>1219</v>
      </c>
      <c r="C221" s="116" t="s">
        <v>442</v>
      </c>
      <c r="D221" s="116"/>
      <c r="E221" s="117" t="s">
        <v>107</v>
      </c>
      <c r="F221" s="117" t="s">
        <v>108</v>
      </c>
      <c r="G221" s="116"/>
      <c r="H221" s="119"/>
      <c r="I221" s="118"/>
      <c r="J221" s="41" t="s">
        <v>110</v>
      </c>
      <c r="K221" s="41">
        <v>1</v>
      </c>
      <c r="L221" s="41" t="s">
        <v>110</v>
      </c>
      <c r="M221" s="41">
        <v>1</v>
      </c>
      <c r="N221" s="39" t="s">
        <v>115</v>
      </c>
      <c r="O221" s="39">
        <v>1</v>
      </c>
      <c r="P221" s="5" t="s">
        <v>111</v>
      </c>
      <c r="Q221" s="41"/>
      <c r="R221" s="41" t="s">
        <v>112</v>
      </c>
      <c r="S221" s="41">
        <v>4</v>
      </c>
      <c r="T221" s="41" t="s">
        <v>801</v>
      </c>
      <c r="U221" s="41"/>
      <c r="V221" s="41"/>
      <c r="W221" s="174">
        <v>45992</v>
      </c>
      <c r="X221" s="174">
        <v>45992</v>
      </c>
      <c r="Y221" s="41"/>
      <c r="Z221" s="42" t="s">
        <v>141</v>
      </c>
      <c r="AA221" s="37" t="s">
        <v>1220</v>
      </c>
      <c r="AB221" s="42" t="s">
        <v>118</v>
      </c>
      <c r="AC221" s="42" t="s">
        <v>119</v>
      </c>
      <c r="AD221" s="51"/>
      <c r="AE221" s="51"/>
      <c r="AF221" s="12">
        <f t="shared" si="6"/>
        <v>76</v>
      </c>
      <c r="AG221" s="7">
        <v>80</v>
      </c>
      <c r="AH221" s="7" t="s">
        <v>633</v>
      </c>
      <c r="AI221" s="7">
        <v>80</v>
      </c>
      <c r="AJ221" s="7" t="s">
        <v>634</v>
      </c>
      <c r="AK221" s="7">
        <v>60</v>
      </c>
      <c r="AL221" s="7" t="s">
        <v>635</v>
      </c>
      <c r="AM221" s="7">
        <v>80</v>
      </c>
      <c r="AN221" s="7" t="s">
        <v>146</v>
      </c>
      <c r="AO221" s="63">
        <v>5.8</v>
      </c>
      <c r="AP221" s="58">
        <v>1600</v>
      </c>
      <c r="AQ221" s="58">
        <v>370</v>
      </c>
      <c r="AR221" s="58">
        <v>370</v>
      </c>
      <c r="AS221" s="30">
        <v>15022</v>
      </c>
      <c r="AT221" s="30">
        <v>9280</v>
      </c>
      <c r="AU221" s="30">
        <v>24302</v>
      </c>
      <c r="AV221" s="197">
        <v>15022</v>
      </c>
      <c r="AW221" s="197">
        <v>9280</v>
      </c>
      <c r="AX221" s="197">
        <v>24302</v>
      </c>
      <c r="AY221" s="203"/>
      <c r="AZ221" s="203"/>
      <c r="BA221" s="203">
        <v>0</v>
      </c>
      <c r="BB221" s="41" t="s">
        <v>1221</v>
      </c>
      <c r="BC221" s="191"/>
      <c r="BD221" s="190">
        <v>3</v>
      </c>
      <c r="BE221" s="30"/>
      <c r="BF221" s="186"/>
      <c r="BG221" s="183"/>
      <c r="BH221" s="183"/>
    </row>
    <row r="222" spans="1:60" ht="30" hidden="1" customHeight="1">
      <c r="A222" s="41" t="s">
        <v>135</v>
      </c>
      <c r="B222" s="116" t="s">
        <v>1222</v>
      </c>
      <c r="C222" s="116" t="s">
        <v>442</v>
      </c>
      <c r="D222" s="116"/>
      <c r="E222" s="117" t="s">
        <v>107</v>
      </c>
      <c r="F222" s="117" t="s">
        <v>108</v>
      </c>
      <c r="G222" s="116"/>
      <c r="H222" s="119"/>
      <c r="I222" s="118"/>
      <c r="J222" s="41" t="s">
        <v>110</v>
      </c>
      <c r="K222" s="41">
        <v>1</v>
      </c>
      <c r="L222" s="41" t="s">
        <v>110</v>
      </c>
      <c r="M222" s="41">
        <v>1</v>
      </c>
      <c r="N222" s="39"/>
      <c r="O222" s="39"/>
      <c r="P222" s="5" t="s">
        <v>111</v>
      </c>
      <c r="Q222" s="41"/>
      <c r="R222" s="41" t="s">
        <v>112</v>
      </c>
      <c r="S222" s="41">
        <v>4</v>
      </c>
      <c r="T222" s="41" t="s">
        <v>630</v>
      </c>
      <c r="U222" s="41"/>
      <c r="V222" s="41"/>
      <c r="W222" s="174">
        <v>45992</v>
      </c>
      <c r="X222" s="174">
        <v>45992</v>
      </c>
      <c r="Y222" s="41"/>
      <c r="Z222" s="42" t="s">
        <v>141</v>
      </c>
      <c r="AA222" s="37" t="s">
        <v>1220</v>
      </c>
      <c r="AB222" s="42" t="s">
        <v>118</v>
      </c>
      <c r="AC222" s="42" t="s">
        <v>119</v>
      </c>
      <c r="AD222" s="51"/>
      <c r="AE222" s="51"/>
      <c r="AF222" s="12">
        <f t="shared" si="6"/>
        <v>76</v>
      </c>
      <c r="AG222" s="7">
        <v>80</v>
      </c>
      <c r="AH222" s="7" t="s">
        <v>633</v>
      </c>
      <c r="AI222" s="7">
        <v>80</v>
      </c>
      <c r="AJ222" s="7" t="s">
        <v>634</v>
      </c>
      <c r="AK222" s="7">
        <v>60</v>
      </c>
      <c r="AL222" s="7" t="s">
        <v>635</v>
      </c>
      <c r="AM222" s="7">
        <v>80</v>
      </c>
      <c r="AN222" s="7" t="s">
        <v>146</v>
      </c>
      <c r="AO222" s="63">
        <v>5.8</v>
      </c>
      <c r="AP222" s="58">
        <v>1600</v>
      </c>
      <c r="AQ222" s="58">
        <v>310</v>
      </c>
      <c r="AR222" s="58">
        <v>310</v>
      </c>
      <c r="AS222" s="30">
        <v>12586</v>
      </c>
      <c r="AT222" s="30">
        <v>9280</v>
      </c>
      <c r="AU222" s="30">
        <v>21866</v>
      </c>
      <c r="AV222" s="197">
        <v>12586</v>
      </c>
      <c r="AW222" s="197">
        <v>9280</v>
      </c>
      <c r="AX222" s="197">
        <v>21866</v>
      </c>
      <c r="AY222" s="203"/>
      <c r="AZ222" s="203"/>
      <c r="BA222" s="203">
        <v>0</v>
      </c>
      <c r="BB222" s="41" t="s">
        <v>1223</v>
      </c>
      <c r="BC222" s="191"/>
      <c r="BD222" s="190">
        <v>3</v>
      </c>
      <c r="BE222" s="30"/>
      <c r="BF222" s="186"/>
      <c r="BG222" s="183"/>
      <c r="BH222" s="183"/>
    </row>
    <row r="223" spans="1:60" ht="30" hidden="1" customHeight="1">
      <c r="A223" s="41" t="s">
        <v>135</v>
      </c>
      <c r="B223" s="116" t="s">
        <v>1224</v>
      </c>
      <c r="C223" s="119" t="s">
        <v>442</v>
      </c>
      <c r="D223" s="116"/>
      <c r="E223" s="117" t="s">
        <v>107</v>
      </c>
      <c r="F223" s="117" t="s">
        <v>108</v>
      </c>
      <c r="G223" s="116"/>
      <c r="H223" s="119"/>
      <c r="I223" s="118"/>
      <c r="J223" s="41" t="s">
        <v>110</v>
      </c>
      <c r="K223" s="41">
        <v>1</v>
      </c>
      <c r="L223" s="41" t="s">
        <v>110</v>
      </c>
      <c r="M223" s="41">
        <v>1</v>
      </c>
      <c r="N223" s="39"/>
      <c r="O223" s="39"/>
      <c r="P223" s="5" t="s">
        <v>111</v>
      </c>
      <c r="Q223" s="41"/>
      <c r="R223" s="41" t="s">
        <v>112</v>
      </c>
      <c r="S223" s="41">
        <v>4</v>
      </c>
      <c r="T223" s="41" t="s">
        <v>630</v>
      </c>
      <c r="U223" s="41"/>
      <c r="V223" s="41"/>
      <c r="W223" s="174">
        <v>45992</v>
      </c>
      <c r="X223" s="174">
        <v>45992</v>
      </c>
      <c r="Y223" s="41"/>
      <c r="Z223" s="42" t="s">
        <v>141</v>
      </c>
      <c r="AA223" s="37"/>
      <c r="AB223" s="42" t="s">
        <v>118</v>
      </c>
      <c r="AC223" s="42" t="s">
        <v>119</v>
      </c>
      <c r="AD223" s="51"/>
      <c r="AE223" s="51"/>
      <c r="AF223" s="12">
        <f t="shared" si="6"/>
        <v>76</v>
      </c>
      <c r="AG223" s="7">
        <v>80</v>
      </c>
      <c r="AH223" s="7" t="s">
        <v>633</v>
      </c>
      <c r="AI223" s="7">
        <v>80</v>
      </c>
      <c r="AJ223" s="7" t="s">
        <v>634</v>
      </c>
      <c r="AK223" s="7">
        <v>60</v>
      </c>
      <c r="AL223" s="7" t="s">
        <v>635</v>
      </c>
      <c r="AM223" s="7">
        <v>80</v>
      </c>
      <c r="AN223" s="7" t="s">
        <v>146</v>
      </c>
      <c r="AO223" s="63">
        <v>5.8</v>
      </c>
      <c r="AP223" s="58">
        <v>1600</v>
      </c>
      <c r="AQ223" s="58">
        <v>310</v>
      </c>
      <c r="AR223" s="58">
        <v>310</v>
      </c>
      <c r="AS223" s="30">
        <v>12586</v>
      </c>
      <c r="AT223" s="30">
        <v>9280</v>
      </c>
      <c r="AU223" s="30">
        <v>21866</v>
      </c>
      <c r="AV223" s="197">
        <v>12586</v>
      </c>
      <c r="AW223" s="197">
        <v>9280</v>
      </c>
      <c r="AX223" s="197">
        <v>21866</v>
      </c>
      <c r="AY223" s="203"/>
      <c r="AZ223" s="203"/>
      <c r="BA223" s="203">
        <v>0</v>
      </c>
      <c r="BB223" s="41" t="s">
        <v>190</v>
      </c>
      <c r="BC223" s="191"/>
      <c r="BD223" s="190">
        <v>3</v>
      </c>
      <c r="BE223" s="30"/>
      <c r="BF223" s="186"/>
      <c r="BG223" s="183"/>
      <c r="BH223" s="183"/>
    </row>
    <row r="224" spans="1:60" ht="30" hidden="1" customHeight="1">
      <c r="A224" s="41" t="s">
        <v>228</v>
      </c>
      <c r="B224" s="116" t="s">
        <v>1225</v>
      </c>
      <c r="C224" s="116" t="s">
        <v>1226</v>
      </c>
      <c r="D224" s="116"/>
      <c r="E224" s="117" t="s">
        <v>107</v>
      </c>
      <c r="F224" s="117" t="s">
        <v>108</v>
      </c>
      <c r="G224" s="116" t="s">
        <v>186</v>
      </c>
      <c r="H224" s="119"/>
      <c r="I224" s="118"/>
      <c r="J224" s="41" t="s">
        <v>110</v>
      </c>
      <c r="K224" s="41">
        <v>1</v>
      </c>
      <c r="L224" s="41" t="s">
        <v>110</v>
      </c>
      <c r="M224" s="41">
        <v>1</v>
      </c>
      <c r="N224" s="39" t="s">
        <v>115</v>
      </c>
      <c r="O224" s="39">
        <v>1</v>
      </c>
      <c r="P224" s="5" t="s">
        <v>111</v>
      </c>
      <c r="Q224" s="41"/>
      <c r="R224" s="41" t="s">
        <v>112</v>
      </c>
      <c r="S224" s="41">
        <v>4</v>
      </c>
      <c r="T224" s="41" t="s">
        <v>232</v>
      </c>
      <c r="U224" s="41"/>
      <c r="V224" s="41"/>
      <c r="W224" s="174">
        <v>45992</v>
      </c>
      <c r="X224" s="174">
        <v>45992</v>
      </c>
      <c r="Y224" s="41"/>
      <c r="Z224" s="42"/>
      <c r="AA224" s="37"/>
      <c r="AB224" s="42"/>
      <c r="AC224" s="42" t="s">
        <v>1227</v>
      </c>
      <c r="AD224" s="51"/>
      <c r="AE224" s="51"/>
      <c r="AF224" s="12">
        <f t="shared" si="6"/>
        <v>76</v>
      </c>
      <c r="AG224" s="7">
        <v>60</v>
      </c>
      <c r="AH224" s="7"/>
      <c r="AI224" s="7">
        <v>80</v>
      </c>
      <c r="AJ224" s="7"/>
      <c r="AK224" s="7">
        <v>100</v>
      </c>
      <c r="AL224" s="7"/>
      <c r="AM224" s="7">
        <v>80</v>
      </c>
      <c r="AN224" s="7"/>
      <c r="AO224" s="63">
        <v>5.8</v>
      </c>
      <c r="AP224" s="58">
        <v>1600</v>
      </c>
      <c r="AQ224" s="58">
        <v>390</v>
      </c>
      <c r="AR224" s="58">
        <v>390</v>
      </c>
      <c r="AS224" s="30">
        <v>15834</v>
      </c>
      <c r="AT224" s="30">
        <v>9280</v>
      </c>
      <c r="AU224" s="30">
        <v>25114</v>
      </c>
      <c r="AV224" s="197">
        <v>15834</v>
      </c>
      <c r="AW224" s="197">
        <v>9280</v>
      </c>
      <c r="AX224" s="197">
        <v>25114</v>
      </c>
      <c r="AY224" s="203"/>
      <c r="AZ224" s="203"/>
      <c r="BA224" s="203">
        <v>0</v>
      </c>
      <c r="BB224" s="41" t="s">
        <v>1228</v>
      </c>
      <c r="BC224" s="191"/>
      <c r="BD224" s="190">
        <v>3</v>
      </c>
      <c r="BE224" s="30"/>
      <c r="BF224" s="186"/>
      <c r="BG224" s="183"/>
      <c r="BH224" s="183"/>
    </row>
    <row r="225" spans="1:60" ht="30" hidden="1" customHeight="1">
      <c r="A225" s="41" t="s">
        <v>122</v>
      </c>
      <c r="B225" s="116" t="s">
        <v>1229</v>
      </c>
      <c r="C225" s="116" t="s">
        <v>352</v>
      </c>
      <c r="D225" s="116" t="s">
        <v>1230</v>
      </c>
      <c r="E225" s="117" t="s">
        <v>274</v>
      </c>
      <c r="F225" s="117" t="s">
        <v>275</v>
      </c>
      <c r="G225" s="116" t="s">
        <v>1231</v>
      </c>
      <c r="H225" s="119"/>
      <c r="I225" s="118" t="s">
        <v>341</v>
      </c>
      <c r="J225" s="41" t="s">
        <v>110</v>
      </c>
      <c r="K225" s="41">
        <v>2</v>
      </c>
      <c r="L225" s="41" t="s">
        <v>110</v>
      </c>
      <c r="M225" s="41">
        <v>1</v>
      </c>
      <c r="N225" s="39" t="s">
        <v>115</v>
      </c>
      <c r="O225" s="39">
        <v>1</v>
      </c>
      <c r="P225" s="5" t="s">
        <v>111</v>
      </c>
      <c r="Q225" s="41"/>
      <c r="R225" s="41" t="s">
        <v>112</v>
      </c>
      <c r="S225" s="41">
        <v>7</v>
      </c>
      <c r="T225" s="5" t="s">
        <v>218</v>
      </c>
      <c r="U225" s="41" t="s">
        <v>219</v>
      </c>
      <c r="V225" s="41"/>
      <c r="W225" s="174">
        <v>45801</v>
      </c>
      <c r="X225" s="174">
        <v>45808</v>
      </c>
      <c r="Y225" s="41"/>
      <c r="Z225" s="42"/>
      <c r="AA225" s="37"/>
      <c r="AB225" s="42"/>
      <c r="AC225" s="42"/>
      <c r="AD225" s="51"/>
      <c r="AE225" s="51"/>
      <c r="AF225" s="12">
        <f t="shared" si="6"/>
        <v>74</v>
      </c>
      <c r="AG225" s="7">
        <v>80</v>
      </c>
      <c r="AH225" s="7"/>
      <c r="AI225" s="7">
        <v>60</v>
      </c>
      <c r="AJ225" s="7"/>
      <c r="AK225" s="7">
        <v>80</v>
      </c>
      <c r="AL225" s="7"/>
      <c r="AM225" s="7">
        <v>80</v>
      </c>
      <c r="AN225" s="7"/>
      <c r="AO225" s="63">
        <v>5.8</v>
      </c>
      <c r="AP225" s="58">
        <v>1600</v>
      </c>
      <c r="AQ225" s="58">
        <v>320</v>
      </c>
      <c r="AR225" s="58">
        <v>320</v>
      </c>
      <c r="AS225" s="30">
        <v>0</v>
      </c>
      <c r="AT225" s="30">
        <v>0</v>
      </c>
      <c r="AU225" s="30">
        <v>0</v>
      </c>
      <c r="AV225" s="197">
        <v>0</v>
      </c>
      <c r="AW225" s="197">
        <v>0</v>
      </c>
      <c r="AX225" s="197">
        <v>0</v>
      </c>
      <c r="AY225" s="203"/>
      <c r="AZ225" s="203"/>
      <c r="BA225" s="203">
        <v>0</v>
      </c>
      <c r="BB225" s="41" t="s">
        <v>711</v>
      </c>
      <c r="BC225" s="191" t="s">
        <v>1232</v>
      </c>
      <c r="BD225" s="190">
        <v>3</v>
      </c>
      <c r="BE225" s="30"/>
      <c r="BF225" s="186"/>
      <c r="BG225" s="183"/>
      <c r="BH225" s="183"/>
    </row>
    <row r="226" spans="1:60" ht="30" hidden="1" customHeight="1">
      <c r="A226" s="41" t="s">
        <v>290</v>
      </c>
      <c r="B226" s="116" t="s">
        <v>1233</v>
      </c>
      <c r="C226" s="116" t="s">
        <v>737</v>
      </c>
      <c r="D226" s="116"/>
      <c r="E226" s="117" t="s">
        <v>176</v>
      </c>
      <c r="F226" s="117" t="s">
        <v>651</v>
      </c>
      <c r="G226" s="116"/>
      <c r="H226" s="119"/>
      <c r="I226" s="118"/>
      <c r="J226" s="41" t="s">
        <v>110</v>
      </c>
      <c r="K226" s="41">
        <v>1</v>
      </c>
      <c r="L226" s="41" t="s">
        <v>110</v>
      </c>
      <c r="M226" s="41">
        <v>1</v>
      </c>
      <c r="N226" s="39"/>
      <c r="O226" s="39"/>
      <c r="P226" s="5" t="s">
        <v>111</v>
      </c>
      <c r="Q226" s="41"/>
      <c r="R226" s="41" t="s">
        <v>112</v>
      </c>
      <c r="S226" s="41">
        <v>5</v>
      </c>
      <c r="T226" s="41" t="s">
        <v>295</v>
      </c>
      <c r="U226" s="41"/>
      <c r="V226" s="41" t="s">
        <v>115</v>
      </c>
      <c r="W226" s="174">
        <v>45992</v>
      </c>
      <c r="X226" s="174">
        <v>45992</v>
      </c>
      <c r="Y226" s="41"/>
      <c r="Z226" s="42" t="s">
        <v>141</v>
      </c>
      <c r="AA226" s="42" t="s">
        <v>1234</v>
      </c>
      <c r="AB226" s="42" t="s">
        <v>118</v>
      </c>
      <c r="AC226" s="42" t="s">
        <v>683</v>
      </c>
      <c r="AD226" s="42"/>
      <c r="AE226" s="42"/>
      <c r="AF226" s="12">
        <f t="shared" si="6"/>
        <v>74</v>
      </c>
      <c r="AG226" s="7">
        <v>80</v>
      </c>
      <c r="AH226" s="7"/>
      <c r="AI226" s="7">
        <v>60</v>
      </c>
      <c r="AJ226" s="7" t="s">
        <v>684</v>
      </c>
      <c r="AK226" s="7">
        <v>80</v>
      </c>
      <c r="AL226" s="7" t="s">
        <v>685</v>
      </c>
      <c r="AM226" s="7">
        <v>80</v>
      </c>
      <c r="AN226" s="7"/>
      <c r="AO226" s="63">
        <v>5.8</v>
      </c>
      <c r="AP226" s="58">
        <v>800</v>
      </c>
      <c r="AQ226" s="58">
        <v>270</v>
      </c>
      <c r="AR226" s="58">
        <v>270</v>
      </c>
      <c r="AS226" s="30">
        <v>10962</v>
      </c>
      <c r="AT226" s="30">
        <v>4640</v>
      </c>
      <c r="AU226" s="30">
        <v>15602</v>
      </c>
      <c r="AV226" s="197">
        <v>10962</v>
      </c>
      <c r="AW226" s="197">
        <v>4640</v>
      </c>
      <c r="AX226" s="197">
        <v>15602</v>
      </c>
      <c r="AY226" s="203"/>
      <c r="AZ226" s="203"/>
      <c r="BA226" s="203">
        <v>0</v>
      </c>
      <c r="BB226" s="41" t="s">
        <v>1235</v>
      </c>
      <c r="BC226" s="191"/>
      <c r="BD226" s="189">
        <v>2</v>
      </c>
      <c r="BE226" s="30" t="s">
        <v>661</v>
      </c>
      <c r="BF226" s="186"/>
      <c r="BG226" s="183"/>
      <c r="BH226" s="183"/>
    </row>
    <row r="227" spans="1:60" ht="30" hidden="1" customHeight="1">
      <c r="A227" s="41" t="s">
        <v>290</v>
      </c>
      <c r="B227" s="116" t="s">
        <v>1236</v>
      </c>
      <c r="C227" s="116" t="s">
        <v>737</v>
      </c>
      <c r="D227" s="116"/>
      <c r="E227" s="117" t="s">
        <v>176</v>
      </c>
      <c r="F227" s="117" t="s">
        <v>651</v>
      </c>
      <c r="G227" s="116"/>
      <c r="H227" s="119"/>
      <c r="I227" s="118"/>
      <c r="J227" s="41" t="s">
        <v>110</v>
      </c>
      <c r="K227" s="41">
        <v>1</v>
      </c>
      <c r="L227" s="41" t="s">
        <v>110</v>
      </c>
      <c r="M227" s="41">
        <v>1</v>
      </c>
      <c r="N227" s="39"/>
      <c r="O227" s="39"/>
      <c r="P227" s="5" t="s">
        <v>111</v>
      </c>
      <c r="Q227" s="41"/>
      <c r="R227" s="5" t="s">
        <v>112</v>
      </c>
      <c r="S227" s="41">
        <v>5</v>
      </c>
      <c r="T227" s="5" t="s">
        <v>295</v>
      </c>
      <c r="U227" s="41" t="s">
        <v>296</v>
      </c>
      <c r="V227" s="41" t="s">
        <v>115</v>
      </c>
      <c r="W227" s="174">
        <v>45992</v>
      </c>
      <c r="X227" s="174">
        <v>45992</v>
      </c>
      <c r="Y227" s="41"/>
      <c r="Z227" s="42" t="s">
        <v>141</v>
      </c>
      <c r="AA227" s="42" t="s">
        <v>1234</v>
      </c>
      <c r="AB227" s="42" t="s">
        <v>118</v>
      </c>
      <c r="AC227" s="42" t="s">
        <v>683</v>
      </c>
      <c r="AD227" s="42"/>
      <c r="AE227" s="42"/>
      <c r="AF227" s="12">
        <f t="shared" si="6"/>
        <v>74</v>
      </c>
      <c r="AG227" s="7">
        <v>80</v>
      </c>
      <c r="AH227" s="7"/>
      <c r="AI227" s="7">
        <v>60</v>
      </c>
      <c r="AJ227" s="7" t="s">
        <v>684</v>
      </c>
      <c r="AK227" s="7">
        <v>80</v>
      </c>
      <c r="AL227" s="7" t="s">
        <v>685</v>
      </c>
      <c r="AM227" s="7">
        <v>80</v>
      </c>
      <c r="AN227" s="7"/>
      <c r="AO227" s="63">
        <v>5.8</v>
      </c>
      <c r="AP227" s="58">
        <v>800</v>
      </c>
      <c r="AQ227" s="58">
        <v>260</v>
      </c>
      <c r="AR227" s="58">
        <v>260</v>
      </c>
      <c r="AS227" s="30">
        <v>10556</v>
      </c>
      <c r="AT227" s="30">
        <v>4640</v>
      </c>
      <c r="AU227" s="30">
        <v>15196</v>
      </c>
      <c r="AV227" s="197">
        <v>10556</v>
      </c>
      <c r="AW227" s="197">
        <v>4640</v>
      </c>
      <c r="AX227" s="197">
        <v>15196</v>
      </c>
      <c r="AY227" s="203"/>
      <c r="AZ227" s="203"/>
      <c r="BA227" s="203">
        <v>0</v>
      </c>
      <c r="BB227" s="41" t="s">
        <v>1237</v>
      </c>
      <c r="BC227" s="191"/>
      <c r="BD227" s="189">
        <v>2</v>
      </c>
      <c r="BE227" s="30" t="s">
        <v>661</v>
      </c>
      <c r="BF227" s="186"/>
      <c r="BG227" s="183"/>
      <c r="BH227" s="183"/>
    </row>
    <row r="228" spans="1:60" ht="30" hidden="1" customHeight="1">
      <c r="A228" s="41" t="s">
        <v>290</v>
      </c>
      <c r="B228" s="116" t="s">
        <v>1238</v>
      </c>
      <c r="C228" s="116" t="s">
        <v>737</v>
      </c>
      <c r="D228" s="116"/>
      <c r="E228" s="117" t="s">
        <v>176</v>
      </c>
      <c r="F228" s="118" t="s">
        <v>651</v>
      </c>
      <c r="G228" s="116"/>
      <c r="H228" s="119"/>
      <c r="I228" s="118"/>
      <c r="J228" s="41" t="s">
        <v>110</v>
      </c>
      <c r="K228" s="41">
        <v>1</v>
      </c>
      <c r="L228" s="41" t="s">
        <v>110</v>
      </c>
      <c r="M228" s="41">
        <v>1</v>
      </c>
      <c r="N228" s="39"/>
      <c r="O228" s="39"/>
      <c r="P228" s="5" t="s">
        <v>111</v>
      </c>
      <c r="Q228" s="41"/>
      <c r="R228" s="5" t="s">
        <v>112</v>
      </c>
      <c r="S228" s="41">
        <v>5</v>
      </c>
      <c r="T228" s="41" t="s">
        <v>295</v>
      </c>
      <c r="U228" s="41"/>
      <c r="V228" s="41" t="s">
        <v>115</v>
      </c>
      <c r="W228" s="174">
        <v>45992</v>
      </c>
      <c r="X228" s="174">
        <v>45992</v>
      </c>
      <c r="Y228" s="41"/>
      <c r="Z228" s="42" t="s">
        <v>141</v>
      </c>
      <c r="AA228" s="42" t="s">
        <v>1234</v>
      </c>
      <c r="AB228" s="42" t="s">
        <v>118</v>
      </c>
      <c r="AC228" s="42" t="s">
        <v>683</v>
      </c>
      <c r="AD228" s="42"/>
      <c r="AE228" s="42"/>
      <c r="AF228" s="12">
        <f t="shared" si="6"/>
        <v>74</v>
      </c>
      <c r="AG228" s="7">
        <v>80</v>
      </c>
      <c r="AH228" s="7"/>
      <c r="AI228" s="7">
        <v>60</v>
      </c>
      <c r="AJ228" s="7" t="s">
        <v>684</v>
      </c>
      <c r="AK228" s="7">
        <v>80</v>
      </c>
      <c r="AL228" s="7" t="s">
        <v>685</v>
      </c>
      <c r="AM228" s="7">
        <v>80</v>
      </c>
      <c r="AN228" s="7"/>
      <c r="AO228" s="63">
        <v>5.8</v>
      </c>
      <c r="AP228" s="58">
        <v>800</v>
      </c>
      <c r="AQ228" s="58">
        <v>270</v>
      </c>
      <c r="AR228" s="58">
        <v>270</v>
      </c>
      <c r="AS228" s="30">
        <v>10962</v>
      </c>
      <c r="AT228" s="30">
        <v>4640</v>
      </c>
      <c r="AU228" s="30">
        <v>15602</v>
      </c>
      <c r="AV228" s="197">
        <v>10962</v>
      </c>
      <c r="AW228" s="197">
        <v>4640</v>
      </c>
      <c r="AX228" s="197">
        <v>15602</v>
      </c>
      <c r="AY228" s="203"/>
      <c r="AZ228" s="203"/>
      <c r="BA228" s="203">
        <v>0</v>
      </c>
      <c r="BB228" s="41" t="s">
        <v>1235</v>
      </c>
      <c r="BC228" s="191"/>
      <c r="BD228" s="189">
        <v>2</v>
      </c>
      <c r="BE228" s="30" t="s">
        <v>661</v>
      </c>
      <c r="BF228" s="186"/>
      <c r="BG228" s="183"/>
      <c r="BH228" s="183"/>
    </row>
    <row r="229" spans="1:60" ht="30" hidden="1" customHeight="1">
      <c r="A229" s="41" t="s">
        <v>290</v>
      </c>
      <c r="B229" s="116" t="s">
        <v>1239</v>
      </c>
      <c r="C229" s="116" t="s">
        <v>737</v>
      </c>
      <c r="D229" s="116"/>
      <c r="E229" s="117" t="s">
        <v>176</v>
      </c>
      <c r="F229" s="117" t="s">
        <v>651</v>
      </c>
      <c r="G229" s="116"/>
      <c r="H229" s="119"/>
      <c r="I229" s="118"/>
      <c r="J229" s="41" t="s">
        <v>110</v>
      </c>
      <c r="K229" s="41">
        <v>1</v>
      </c>
      <c r="L229" s="41" t="s">
        <v>110</v>
      </c>
      <c r="M229" s="41">
        <v>1</v>
      </c>
      <c r="N229" s="39"/>
      <c r="O229" s="39"/>
      <c r="P229" s="5" t="s">
        <v>111</v>
      </c>
      <c r="Q229" s="41"/>
      <c r="R229" s="5" t="s">
        <v>112</v>
      </c>
      <c r="S229" s="41">
        <v>5</v>
      </c>
      <c r="T229" s="41" t="s">
        <v>295</v>
      </c>
      <c r="U229" s="41" t="s">
        <v>296</v>
      </c>
      <c r="V229" s="41" t="s">
        <v>115</v>
      </c>
      <c r="W229" s="174">
        <v>45992</v>
      </c>
      <c r="X229" s="174">
        <v>45992</v>
      </c>
      <c r="Y229" s="41"/>
      <c r="Z229" s="42" t="s">
        <v>141</v>
      </c>
      <c r="AA229" s="42" t="s">
        <v>1234</v>
      </c>
      <c r="AB229" s="42" t="s">
        <v>118</v>
      </c>
      <c r="AC229" s="42" t="s">
        <v>683</v>
      </c>
      <c r="AD229" s="42"/>
      <c r="AE229" s="42"/>
      <c r="AF229" s="12">
        <f t="shared" si="6"/>
        <v>74</v>
      </c>
      <c r="AG229" s="7">
        <v>80</v>
      </c>
      <c r="AH229" s="7"/>
      <c r="AI229" s="7">
        <v>60</v>
      </c>
      <c r="AJ229" s="7" t="s">
        <v>684</v>
      </c>
      <c r="AK229" s="7">
        <v>80</v>
      </c>
      <c r="AL229" s="7" t="s">
        <v>685</v>
      </c>
      <c r="AM229" s="7">
        <v>80</v>
      </c>
      <c r="AN229" s="7"/>
      <c r="AO229" s="63">
        <v>5.8</v>
      </c>
      <c r="AP229" s="58">
        <v>800</v>
      </c>
      <c r="AQ229" s="58">
        <v>260</v>
      </c>
      <c r="AR229" s="58">
        <v>260</v>
      </c>
      <c r="AS229" s="30">
        <v>10556</v>
      </c>
      <c r="AT229" s="30">
        <v>4640</v>
      </c>
      <c r="AU229" s="30">
        <v>15196</v>
      </c>
      <c r="AV229" s="197">
        <v>10556</v>
      </c>
      <c r="AW229" s="197">
        <v>4640</v>
      </c>
      <c r="AX229" s="197">
        <v>15196</v>
      </c>
      <c r="AY229" s="203"/>
      <c r="AZ229" s="203"/>
      <c r="BA229" s="203">
        <v>0</v>
      </c>
      <c r="BB229" s="41" t="s">
        <v>1237</v>
      </c>
      <c r="BC229" s="191"/>
      <c r="BD229" s="189">
        <v>2</v>
      </c>
      <c r="BE229" s="30" t="s">
        <v>661</v>
      </c>
      <c r="BF229" s="186"/>
      <c r="BG229" s="183"/>
      <c r="BH229" s="183"/>
    </row>
    <row r="230" spans="1:60" ht="30" customHeight="1">
      <c r="A230" s="115" t="s">
        <v>228</v>
      </c>
      <c r="B230" s="116" t="s">
        <v>1240</v>
      </c>
      <c r="C230" s="116" t="s">
        <v>1241</v>
      </c>
      <c r="D230" s="116"/>
      <c r="E230" s="117" t="s">
        <v>195</v>
      </c>
      <c r="F230" s="117" t="s">
        <v>293</v>
      </c>
      <c r="G230" s="116" t="s">
        <v>1242</v>
      </c>
      <c r="H230" s="119"/>
      <c r="I230" s="118"/>
      <c r="J230" s="41" t="s">
        <v>110</v>
      </c>
      <c r="K230" s="5">
        <v>0</v>
      </c>
      <c r="L230" s="41" t="s">
        <v>110</v>
      </c>
      <c r="M230" s="5">
        <v>0</v>
      </c>
      <c r="N230" s="7"/>
      <c r="O230" s="7"/>
      <c r="P230" s="5" t="s">
        <v>111</v>
      </c>
      <c r="Q230" s="5"/>
      <c r="R230" s="5" t="s">
        <v>112</v>
      </c>
      <c r="S230" s="5">
        <v>3</v>
      </c>
      <c r="T230" s="5" t="s">
        <v>801</v>
      </c>
      <c r="U230" s="41"/>
      <c r="V230" s="5"/>
      <c r="W230" s="174">
        <v>45992</v>
      </c>
      <c r="X230" s="174">
        <v>45992</v>
      </c>
      <c r="Y230" s="5"/>
      <c r="Z230" s="3"/>
      <c r="AA230" s="2"/>
      <c r="AB230" s="3"/>
      <c r="AC230" s="3"/>
      <c r="AD230" s="50"/>
      <c r="AE230" s="50"/>
      <c r="AF230" s="12">
        <f t="shared" si="6"/>
        <v>74</v>
      </c>
      <c r="AG230" s="7">
        <v>60</v>
      </c>
      <c r="AH230" s="7"/>
      <c r="AI230" s="7">
        <v>80</v>
      </c>
      <c r="AJ230" s="7"/>
      <c r="AK230" s="7">
        <v>80</v>
      </c>
      <c r="AL230" s="7"/>
      <c r="AM230" s="7">
        <v>100</v>
      </c>
      <c r="AN230" s="7"/>
      <c r="AO230" s="63">
        <v>5.8</v>
      </c>
      <c r="AP230" s="58">
        <v>1600</v>
      </c>
      <c r="AQ230" s="58"/>
      <c r="AR230" s="58"/>
      <c r="AS230" s="30">
        <v>0</v>
      </c>
      <c r="AT230" s="30">
        <v>0</v>
      </c>
      <c r="AU230" s="30">
        <v>0</v>
      </c>
      <c r="AV230" s="197">
        <v>0</v>
      </c>
      <c r="AW230" s="197">
        <v>0</v>
      </c>
      <c r="AX230" s="197">
        <v>0</v>
      </c>
      <c r="AY230" s="202"/>
      <c r="AZ230" s="202"/>
      <c r="BA230" s="202">
        <v>0</v>
      </c>
      <c r="BB230" s="189" t="s">
        <v>317</v>
      </c>
      <c r="BC230" s="191"/>
      <c r="BD230" s="192">
        <v>3</v>
      </c>
      <c r="BE230" s="30"/>
      <c r="BF230" s="186"/>
      <c r="BG230" s="183"/>
      <c r="BH230" s="183"/>
    </row>
    <row r="231" spans="1:60" ht="30" hidden="1" customHeight="1">
      <c r="A231" s="115" t="s">
        <v>122</v>
      </c>
      <c r="B231" s="116" t="s">
        <v>1243</v>
      </c>
      <c r="C231" s="116" t="s">
        <v>678</v>
      </c>
      <c r="D231" s="116"/>
      <c r="E231" s="117" t="s">
        <v>176</v>
      </c>
      <c r="F231" s="117" t="s">
        <v>651</v>
      </c>
      <c r="G231" s="116" t="s">
        <v>130</v>
      </c>
      <c r="H231" s="119"/>
      <c r="I231" s="118"/>
      <c r="J231" s="41" t="s">
        <v>110</v>
      </c>
      <c r="K231" s="5">
        <v>0</v>
      </c>
      <c r="L231" s="41" t="s">
        <v>110</v>
      </c>
      <c r="M231" s="5">
        <v>0</v>
      </c>
      <c r="N231" s="7"/>
      <c r="O231" s="7"/>
      <c r="P231" s="5" t="s">
        <v>111</v>
      </c>
      <c r="Q231" s="5"/>
      <c r="R231" s="5" t="s">
        <v>130</v>
      </c>
      <c r="S231" s="5">
        <v>0</v>
      </c>
      <c r="T231" s="5" t="s">
        <v>130</v>
      </c>
      <c r="U231" s="41" t="s">
        <v>130</v>
      </c>
      <c r="V231" s="5" t="s">
        <v>130</v>
      </c>
      <c r="W231" s="174">
        <v>45992</v>
      </c>
      <c r="X231" s="174">
        <v>45992</v>
      </c>
      <c r="Y231" s="5"/>
      <c r="Z231" s="3" t="s">
        <v>116</v>
      </c>
      <c r="AA231" s="3" t="s">
        <v>1244</v>
      </c>
      <c r="AB231" s="3" t="s">
        <v>118</v>
      </c>
      <c r="AC231" s="3" t="s">
        <v>683</v>
      </c>
      <c r="AD231" s="3"/>
      <c r="AE231" s="3"/>
      <c r="AF231" s="12">
        <f t="shared" si="6"/>
        <v>74</v>
      </c>
      <c r="AG231" s="7">
        <v>80</v>
      </c>
      <c r="AH231" s="7"/>
      <c r="AI231" s="7">
        <v>60</v>
      </c>
      <c r="AJ231" s="7" t="s">
        <v>684</v>
      </c>
      <c r="AK231" s="7">
        <v>80</v>
      </c>
      <c r="AL231" s="7" t="s">
        <v>685</v>
      </c>
      <c r="AM231" s="7">
        <v>80</v>
      </c>
      <c r="AN231" s="7"/>
      <c r="AO231" s="63">
        <v>5.8</v>
      </c>
      <c r="AP231" s="58">
        <v>1600</v>
      </c>
      <c r="AQ231" s="58"/>
      <c r="AR231" s="58"/>
      <c r="AS231" s="30">
        <v>0</v>
      </c>
      <c r="AT231" s="30">
        <v>0</v>
      </c>
      <c r="AU231" s="30">
        <v>0</v>
      </c>
      <c r="AV231" s="197">
        <v>0</v>
      </c>
      <c r="AW231" s="197">
        <v>0</v>
      </c>
      <c r="AX231" s="197">
        <v>0</v>
      </c>
      <c r="AY231" s="202"/>
      <c r="AZ231" s="202"/>
      <c r="BA231" s="202">
        <v>0</v>
      </c>
      <c r="BB231" s="189" t="s">
        <v>1245</v>
      </c>
      <c r="BC231" s="191"/>
      <c r="BD231" s="41">
        <v>0</v>
      </c>
      <c r="BE231" s="30" t="s">
        <v>1246</v>
      </c>
      <c r="BF231" s="186"/>
      <c r="BG231" s="183"/>
      <c r="BH231" s="183"/>
    </row>
    <row r="232" spans="1:60" ht="30" hidden="1" customHeight="1">
      <c r="A232" s="41" t="s">
        <v>122</v>
      </c>
      <c r="B232" s="116" t="s">
        <v>1247</v>
      </c>
      <c r="C232" s="116" t="s">
        <v>678</v>
      </c>
      <c r="D232" s="116"/>
      <c r="E232" s="117" t="s">
        <v>176</v>
      </c>
      <c r="F232" s="117" t="s">
        <v>651</v>
      </c>
      <c r="G232" s="116" t="s">
        <v>130</v>
      </c>
      <c r="H232" s="119"/>
      <c r="I232" s="118"/>
      <c r="J232" s="41" t="s">
        <v>110</v>
      </c>
      <c r="K232" s="41">
        <v>0</v>
      </c>
      <c r="L232" s="41" t="s">
        <v>110</v>
      </c>
      <c r="M232" s="41">
        <v>0</v>
      </c>
      <c r="N232" s="39"/>
      <c r="O232" s="39"/>
      <c r="P232" s="5" t="s">
        <v>111</v>
      </c>
      <c r="Q232" s="41"/>
      <c r="R232" s="41" t="s">
        <v>130</v>
      </c>
      <c r="S232" s="41">
        <v>0</v>
      </c>
      <c r="T232" s="41" t="s">
        <v>130</v>
      </c>
      <c r="U232" s="41" t="s">
        <v>130</v>
      </c>
      <c r="V232" s="41" t="s">
        <v>130</v>
      </c>
      <c r="W232" s="174">
        <v>45992</v>
      </c>
      <c r="X232" s="174">
        <v>45992</v>
      </c>
      <c r="Y232" s="41"/>
      <c r="Z232" s="42" t="s">
        <v>116</v>
      </c>
      <c r="AA232" s="42" t="s">
        <v>1244</v>
      </c>
      <c r="AB232" s="42" t="s">
        <v>118</v>
      </c>
      <c r="AC232" s="42" t="s">
        <v>683</v>
      </c>
      <c r="AD232" s="42"/>
      <c r="AE232" s="42"/>
      <c r="AF232" s="12">
        <f t="shared" si="6"/>
        <v>74</v>
      </c>
      <c r="AG232" s="7">
        <v>80</v>
      </c>
      <c r="AH232" s="7"/>
      <c r="AI232" s="7">
        <v>60</v>
      </c>
      <c r="AJ232" s="7" t="s">
        <v>684</v>
      </c>
      <c r="AK232" s="7">
        <v>80</v>
      </c>
      <c r="AL232" s="7" t="s">
        <v>685</v>
      </c>
      <c r="AM232" s="7">
        <v>80</v>
      </c>
      <c r="AN232" s="7"/>
      <c r="AO232" s="63">
        <v>5.8</v>
      </c>
      <c r="AP232" s="58">
        <v>1600</v>
      </c>
      <c r="AQ232" s="58"/>
      <c r="AR232" s="58"/>
      <c r="AS232" s="30">
        <v>0</v>
      </c>
      <c r="AT232" s="30">
        <v>0</v>
      </c>
      <c r="AU232" s="30">
        <v>0</v>
      </c>
      <c r="AV232" s="197">
        <v>0</v>
      </c>
      <c r="AW232" s="197">
        <v>0</v>
      </c>
      <c r="AX232" s="197">
        <v>0</v>
      </c>
      <c r="AY232" s="203"/>
      <c r="AZ232" s="203"/>
      <c r="BA232" s="203">
        <v>0</v>
      </c>
      <c r="BB232" s="41" t="s">
        <v>1248</v>
      </c>
      <c r="BC232" s="191"/>
      <c r="BD232" s="189">
        <v>0</v>
      </c>
      <c r="BE232" s="30" t="s">
        <v>1246</v>
      </c>
      <c r="BF232" s="186"/>
      <c r="BG232" s="183"/>
      <c r="BH232" s="183"/>
    </row>
    <row r="233" spans="1:60" ht="30" hidden="1" customHeight="1">
      <c r="A233" s="41" t="s">
        <v>421</v>
      </c>
      <c r="B233" s="116" t="s">
        <v>1249</v>
      </c>
      <c r="C233" s="116" t="s">
        <v>442</v>
      </c>
      <c r="D233" s="116"/>
      <c r="E233" s="117" t="s">
        <v>107</v>
      </c>
      <c r="F233" s="117" t="s">
        <v>108</v>
      </c>
      <c r="G233" s="116" t="s">
        <v>178</v>
      </c>
      <c r="H233" s="119"/>
      <c r="I233" s="118" t="s">
        <v>266</v>
      </c>
      <c r="J233" s="41" t="s">
        <v>110</v>
      </c>
      <c r="K233" s="41">
        <v>2</v>
      </c>
      <c r="L233" s="41" t="s">
        <v>110</v>
      </c>
      <c r="M233" s="41">
        <v>1</v>
      </c>
      <c r="N233" s="39"/>
      <c r="O233" s="39"/>
      <c r="P233" s="5" t="s">
        <v>111</v>
      </c>
      <c r="Q233" s="41"/>
      <c r="R233" s="5" t="s">
        <v>112</v>
      </c>
      <c r="S233" s="41">
        <v>4</v>
      </c>
      <c r="T233" s="41" t="s">
        <v>218</v>
      </c>
      <c r="U233" s="41"/>
      <c r="V233" s="41"/>
      <c r="W233" s="174">
        <v>45992</v>
      </c>
      <c r="X233" s="174">
        <v>45992</v>
      </c>
      <c r="Y233" s="41"/>
      <c r="Z233" s="42" t="s">
        <v>141</v>
      </c>
      <c r="AA233" s="37" t="s">
        <v>1250</v>
      </c>
      <c r="AB233" s="42" t="s">
        <v>118</v>
      </c>
      <c r="AC233" s="42" t="s">
        <v>427</v>
      </c>
      <c r="AD233" s="51"/>
      <c r="AE233" s="51"/>
      <c r="AF233" s="12">
        <f t="shared" si="6"/>
        <v>74</v>
      </c>
      <c r="AG233" s="7">
        <v>80</v>
      </c>
      <c r="AH233" s="7"/>
      <c r="AI233" s="7">
        <v>60</v>
      </c>
      <c r="AJ233" s="7"/>
      <c r="AK233" s="7">
        <v>80</v>
      </c>
      <c r="AL233" s="7"/>
      <c r="AM233" s="7">
        <v>80</v>
      </c>
      <c r="AN233" s="7"/>
      <c r="AO233" s="63">
        <v>5.8</v>
      </c>
      <c r="AP233" s="58">
        <v>1600</v>
      </c>
      <c r="AQ233" s="58">
        <v>330</v>
      </c>
      <c r="AR233" s="58">
        <v>330</v>
      </c>
      <c r="AS233" s="30">
        <v>26796</v>
      </c>
      <c r="AT233" s="30">
        <v>18560</v>
      </c>
      <c r="AU233" s="30">
        <v>45356</v>
      </c>
      <c r="AV233" s="197">
        <v>13398</v>
      </c>
      <c r="AW233" s="197">
        <v>9280</v>
      </c>
      <c r="AX233" s="197">
        <v>22678</v>
      </c>
      <c r="AY233" s="203"/>
      <c r="AZ233" s="203"/>
      <c r="BA233" s="203">
        <v>0</v>
      </c>
      <c r="BB233" s="41"/>
      <c r="BC233" s="191"/>
      <c r="BD233" s="190">
        <v>3</v>
      </c>
      <c r="BE233" s="30"/>
      <c r="BF233" s="186"/>
      <c r="BG233" s="183"/>
      <c r="BH233" s="183"/>
    </row>
    <row r="234" spans="1:60" ht="30" hidden="1" customHeight="1">
      <c r="A234" s="41" t="s">
        <v>290</v>
      </c>
      <c r="B234" s="116" t="s">
        <v>1251</v>
      </c>
      <c r="C234" s="116" t="s">
        <v>1252</v>
      </c>
      <c r="D234" s="116" t="s">
        <v>1253</v>
      </c>
      <c r="E234" s="117" t="s">
        <v>176</v>
      </c>
      <c r="F234" s="117" t="s">
        <v>651</v>
      </c>
      <c r="G234" s="116" t="s">
        <v>1254</v>
      </c>
      <c r="H234" s="119"/>
      <c r="I234" s="118"/>
      <c r="J234" s="41" t="s">
        <v>110</v>
      </c>
      <c r="K234" s="41">
        <v>3</v>
      </c>
      <c r="L234" s="41" t="s">
        <v>110</v>
      </c>
      <c r="M234" s="41">
        <v>1</v>
      </c>
      <c r="N234" s="39" t="s">
        <v>115</v>
      </c>
      <c r="O234" s="39">
        <v>1</v>
      </c>
      <c r="P234" s="5" t="s">
        <v>111</v>
      </c>
      <c r="Q234" s="41"/>
      <c r="R234" s="5" t="s">
        <v>112</v>
      </c>
      <c r="S234" s="41">
        <v>5</v>
      </c>
      <c r="T234" s="41" t="s">
        <v>295</v>
      </c>
      <c r="U234" s="41" t="s">
        <v>296</v>
      </c>
      <c r="V234" s="41" t="s">
        <v>115</v>
      </c>
      <c r="W234" s="174">
        <v>45992</v>
      </c>
      <c r="X234" s="174">
        <v>45992</v>
      </c>
      <c r="Y234" s="41"/>
      <c r="Z234" s="42" t="s">
        <v>141</v>
      </c>
      <c r="AA234" s="42" t="s">
        <v>1255</v>
      </c>
      <c r="AB234" s="42" t="s">
        <v>118</v>
      </c>
      <c r="AC234" s="42" t="s">
        <v>1256</v>
      </c>
      <c r="AD234" s="42"/>
      <c r="AE234" s="42"/>
      <c r="AF234" s="12">
        <f t="shared" si="6"/>
        <v>74</v>
      </c>
      <c r="AG234" s="7">
        <v>80</v>
      </c>
      <c r="AH234" s="7" t="s">
        <v>1257</v>
      </c>
      <c r="AI234" s="7">
        <v>60</v>
      </c>
      <c r="AJ234" s="7" t="s">
        <v>1258</v>
      </c>
      <c r="AK234" s="7">
        <v>80</v>
      </c>
      <c r="AL234" s="7" t="s">
        <v>1259</v>
      </c>
      <c r="AM234" s="7">
        <v>80</v>
      </c>
      <c r="AN234" s="7" t="s">
        <v>1260</v>
      </c>
      <c r="AO234" s="63">
        <v>5.8</v>
      </c>
      <c r="AP234" s="58">
        <v>800</v>
      </c>
      <c r="AQ234" s="58">
        <f>AVERAGE(280,270)</f>
        <v>275</v>
      </c>
      <c r="AR234" s="58">
        <v>280</v>
      </c>
      <c r="AS234" s="30">
        <v>33495</v>
      </c>
      <c r="AT234" s="30">
        <v>13920</v>
      </c>
      <c r="AU234" s="30">
        <v>47415</v>
      </c>
      <c r="AV234" s="197">
        <v>11368</v>
      </c>
      <c r="AW234" s="197">
        <v>4640</v>
      </c>
      <c r="AX234" s="197">
        <v>16008</v>
      </c>
      <c r="AY234" s="203"/>
      <c r="AZ234" s="203"/>
      <c r="BA234" s="203">
        <v>0</v>
      </c>
      <c r="BB234" s="41" t="s">
        <v>1261</v>
      </c>
      <c r="BC234" s="191"/>
      <c r="BD234" s="189">
        <v>2</v>
      </c>
      <c r="BE234" s="30" t="s">
        <v>1112</v>
      </c>
      <c r="BF234" s="186"/>
      <c r="BG234" s="183"/>
      <c r="BH234" s="183"/>
    </row>
    <row r="235" spans="1:60" ht="30" hidden="1" customHeight="1">
      <c r="A235" s="41" t="s">
        <v>421</v>
      </c>
      <c r="B235" s="116" t="s">
        <v>1262</v>
      </c>
      <c r="C235" s="116" t="s">
        <v>1263</v>
      </c>
      <c r="D235" s="116"/>
      <c r="E235" s="117" t="s">
        <v>107</v>
      </c>
      <c r="F235" s="117" t="s">
        <v>108</v>
      </c>
      <c r="G235" s="116"/>
      <c r="H235" s="119"/>
      <c r="I235" s="118"/>
      <c r="J235" s="41" t="s">
        <v>110</v>
      </c>
      <c r="K235" s="41">
        <v>1</v>
      </c>
      <c r="L235" s="41" t="s">
        <v>110</v>
      </c>
      <c r="M235" s="41">
        <v>1</v>
      </c>
      <c r="N235" s="39" t="s">
        <v>115</v>
      </c>
      <c r="O235" s="39">
        <v>1</v>
      </c>
      <c r="P235" s="5" t="s">
        <v>111</v>
      </c>
      <c r="Q235" s="41"/>
      <c r="R235" s="5" t="s">
        <v>112</v>
      </c>
      <c r="S235" s="41">
        <v>5</v>
      </c>
      <c r="T235" s="5" t="s">
        <v>218</v>
      </c>
      <c r="U235" s="41"/>
      <c r="V235" s="41"/>
      <c r="W235" s="174">
        <v>45992</v>
      </c>
      <c r="X235" s="174">
        <v>45992</v>
      </c>
      <c r="Y235" s="41"/>
      <c r="Z235" s="42" t="s">
        <v>141</v>
      </c>
      <c r="AA235" s="37" t="s">
        <v>1264</v>
      </c>
      <c r="AB235" s="42" t="s">
        <v>118</v>
      </c>
      <c r="AC235" s="42" t="s">
        <v>427</v>
      </c>
      <c r="AD235" s="51"/>
      <c r="AE235" s="51"/>
      <c r="AF235" s="12">
        <f t="shared" si="6"/>
        <v>74</v>
      </c>
      <c r="AG235" s="7">
        <v>80</v>
      </c>
      <c r="AH235" s="7" t="s">
        <v>1265</v>
      </c>
      <c r="AI235" s="7">
        <v>60</v>
      </c>
      <c r="AJ235" s="7" t="s">
        <v>1266</v>
      </c>
      <c r="AK235" s="7">
        <v>80</v>
      </c>
      <c r="AL235" s="7" t="s">
        <v>1267</v>
      </c>
      <c r="AM235" s="7">
        <v>80</v>
      </c>
      <c r="AN235" s="7"/>
      <c r="AO235" s="63">
        <v>5.8</v>
      </c>
      <c r="AP235" s="58">
        <v>1600</v>
      </c>
      <c r="AQ235" s="58">
        <v>330</v>
      </c>
      <c r="AR235" s="58">
        <v>330</v>
      </c>
      <c r="AS235" s="30">
        <v>15312</v>
      </c>
      <c r="AT235" s="30">
        <v>9280</v>
      </c>
      <c r="AU235" s="30">
        <v>24592</v>
      </c>
      <c r="AV235" s="197">
        <v>15312</v>
      </c>
      <c r="AW235" s="197">
        <v>9280</v>
      </c>
      <c r="AX235" s="197">
        <v>24592</v>
      </c>
      <c r="AY235" s="203"/>
      <c r="AZ235" s="203"/>
      <c r="BA235" s="203">
        <v>0</v>
      </c>
      <c r="BB235" s="41"/>
      <c r="BC235" s="191"/>
      <c r="BD235" s="190">
        <v>3</v>
      </c>
      <c r="BE235" s="30"/>
      <c r="BF235" s="186"/>
      <c r="BG235" s="183"/>
      <c r="BH235" s="183"/>
    </row>
    <row r="236" spans="1:60" ht="30" hidden="1" customHeight="1">
      <c r="A236" s="41" t="s">
        <v>135</v>
      </c>
      <c r="B236" s="116" t="s">
        <v>1268</v>
      </c>
      <c r="C236" s="116" t="s">
        <v>137</v>
      </c>
      <c r="D236" s="116" t="s">
        <v>1269</v>
      </c>
      <c r="E236" s="117" t="s">
        <v>107</v>
      </c>
      <c r="F236" s="117" t="s">
        <v>108</v>
      </c>
      <c r="G236" s="116"/>
      <c r="H236" s="119"/>
      <c r="I236" s="118" t="s">
        <v>129</v>
      </c>
      <c r="J236" s="41" t="s">
        <v>110</v>
      </c>
      <c r="K236" s="41">
        <v>1</v>
      </c>
      <c r="L236" s="41" t="s">
        <v>110</v>
      </c>
      <c r="M236" s="41">
        <v>1</v>
      </c>
      <c r="N236" s="39" t="s">
        <v>115</v>
      </c>
      <c r="O236" s="39">
        <v>1</v>
      </c>
      <c r="P236" s="5" t="s">
        <v>111</v>
      </c>
      <c r="Q236" s="41">
        <v>1</v>
      </c>
      <c r="R236" s="5" t="s">
        <v>112</v>
      </c>
      <c r="S236" s="41">
        <v>5</v>
      </c>
      <c r="T236" s="41" t="s">
        <v>139</v>
      </c>
      <c r="U236" s="41" t="s">
        <v>1270</v>
      </c>
      <c r="V236" s="41"/>
      <c r="W236" s="174">
        <v>45768</v>
      </c>
      <c r="X236" s="174">
        <v>45774</v>
      </c>
      <c r="Y236" s="41"/>
      <c r="Z236" s="42" t="s">
        <v>141</v>
      </c>
      <c r="AA236" s="37" t="s">
        <v>142</v>
      </c>
      <c r="AB236" s="42" t="s">
        <v>118</v>
      </c>
      <c r="AC236" s="42" t="s">
        <v>143</v>
      </c>
      <c r="AD236" s="51"/>
      <c r="AE236" s="51"/>
      <c r="AF236" s="12">
        <f t="shared" si="6"/>
        <v>74</v>
      </c>
      <c r="AG236" s="7">
        <v>80</v>
      </c>
      <c r="AH236" s="7"/>
      <c r="AI236" s="7">
        <v>60</v>
      </c>
      <c r="AJ236" s="7" t="s">
        <v>144</v>
      </c>
      <c r="AK236" s="7">
        <v>80</v>
      </c>
      <c r="AL236" s="7" t="s">
        <v>145</v>
      </c>
      <c r="AM236" s="7">
        <v>80</v>
      </c>
      <c r="AN236" s="7" t="s">
        <v>146</v>
      </c>
      <c r="AO236" s="63">
        <v>5.8</v>
      </c>
      <c r="AP236" s="58">
        <v>1600</v>
      </c>
      <c r="AQ236" s="58">
        <v>390</v>
      </c>
      <c r="AR236" s="58">
        <v>390</v>
      </c>
      <c r="AS236" s="30">
        <v>18096</v>
      </c>
      <c r="AT236" s="30">
        <v>9280</v>
      </c>
      <c r="AU236" s="30">
        <v>27376</v>
      </c>
      <c r="AV236" s="197">
        <v>18096</v>
      </c>
      <c r="AW236" s="197">
        <v>9280</v>
      </c>
      <c r="AX236" s="197">
        <v>27376</v>
      </c>
      <c r="AY236" s="203">
        <v>13562.61</v>
      </c>
      <c r="AZ236" s="203">
        <v>13789.89</v>
      </c>
      <c r="BA236" s="203">
        <f>13562.61+13789.89</f>
        <v>27352.5</v>
      </c>
      <c r="BB236" s="41" t="s">
        <v>147</v>
      </c>
      <c r="BC236" s="191" t="s">
        <v>1271</v>
      </c>
      <c r="BD236" s="190">
        <v>3</v>
      </c>
      <c r="BE236" s="30"/>
      <c r="BF236" s="186"/>
      <c r="BG236" s="183"/>
      <c r="BH236" s="183"/>
    </row>
    <row r="237" spans="1:60" ht="30" hidden="1" customHeight="1">
      <c r="A237" s="41" t="s">
        <v>421</v>
      </c>
      <c r="B237" s="116" t="s">
        <v>1272</v>
      </c>
      <c r="C237" s="116" t="s">
        <v>1273</v>
      </c>
      <c r="D237" s="116"/>
      <c r="E237" s="117" t="s">
        <v>107</v>
      </c>
      <c r="F237" s="117" t="s">
        <v>108</v>
      </c>
      <c r="G237" s="116"/>
      <c r="H237" s="119"/>
      <c r="I237" s="118"/>
      <c r="J237" s="41" t="s">
        <v>110</v>
      </c>
      <c r="K237" s="41">
        <v>1</v>
      </c>
      <c r="L237" s="41" t="s">
        <v>110</v>
      </c>
      <c r="M237" s="41">
        <v>1</v>
      </c>
      <c r="N237" s="39" t="s">
        <v>115</v>
      </c>
      <c r="O237" s="39">
        <v>1</v>
      </c>
      <c r="P237" s="5" t="s">
        <v>111</v>
      </c>
      <c r="Q237" s="41"/>
      <c r="R237" s="41" t="s">
        <v>112</v>
      </c>
      <c r="S237" s="41">
        <v>4</v>
      </c>
      <c r="T237" s="41" t="s">
        <v>801</v>
      </c>
      <c r="U237" s="41"/>
      <c r="V237" s="41"/>
      <c r="W237" s="174">
        <v>45992</v>
      </c>
      <c r="X237" s="174">
        <v>45992</v>
      </c>
      <c r="Y237" s="41"/>
      <c r="Z237" s="42" t="s">
        <v>116</v>
      </c>
      <c r="AA237" s="37" t="s">
        <v>1274</v>
      </c>
      <c r="AB237" s="42" t="s">
        <v>118</v>
      </c>
      <c r="AC237" s="42" t="s">
        <v>1275</v>
      </c>
      <c r="AD237" s="51"/>
      <c r="AE237" s="51"/>
      <c r="AF237" s="12">
        <f t="shared" si="6"/>
        <v>74</v>
      </c>
      <c r="AG237" s="7">
        <v>80</v>
      </c>
      <c r="AH237" s="7" t="s">
        <v>1276</v>
      </c>
      <c r="AI237" s="7">
        <v>60</v>
      </c>
      <c r="AJ237" s="7" t="s">
        <v>1277</v>
      </c>
      <c r="AK237" s="7">
        <v>80</v>
      </c>
      <c r="AL237" s="7" t="s">
        <v>1278</v>
      </c>
      <c r="AM237" s="7">
        <v>80</v>
      </c>
      <c r="AN237" s="7" t="s">
        <v>146</v>
      </c>
      <c r="AO237" s="63">
        <v>5.8</v>
      </c>
      <c r="AP237" s="58">
        <v>1600</v>
      </c>
      <c r="AQ237" s="58">
        <v>420</v>
      </c>
      <c r="AR237" s="58">
        <v>420</v>
      </c>
      <c r="AS237" s="30">
        <v>17052</v>
      </c>
      <c r="AT237" s="30">
        <v>9280</v>
      </c>
      <c r="AU237" s="30">
        <v>26332</v>
      </c>
      <c r="AV237" s="197">
        <v>17052</v>
      </c>
      <c r="AW237" s="197">
        <v>9280</v>
      </c>
      <c r="AX237" s="197">
        <v>26332</v>
      </c>
      <c r="AY237" s="203"/>
      <c r="AZ237" s="203"/>
      <c r="BA237" s="203">
        <v>0</v>
      </c>
      <c r="BB237" s="41" t="s">
        <v>1279</v>
      </c>
      <c r="BC237" s="191"/>
      <c r="BD237" s="190">
        <v>3</v>
      </c>
      <c r="BE237" s="30"/>
      <c r="BF237" s="186"/>
      <c r="BG237" s="183"/>
      <c r="BH237" s="183"/>
    </row>
    <row r="238" spans="1:60" ht="30" hidden="1" customHeight="1">
      <c r="A238" s="41" t="s">
        <v>421</v>
      </c>
      <c r="B238" s="116" t="s">
        <v>1280</v>
      </c>
      <c r="C238" s="116" t="s">
        <v>1281</v>
      </c>
      <c r="D238" s="116"/>
      <c r="E238" s="117" t="s">
        <v>107</v>
      </c>
      <c r="F238" s="117" t="s">
        <v>108</v>
      </c>
      <c r="G238" s="116"/>
      <c r="H238" s="119"/>
      <c r="I238" s="118"/>
      <c r="J238" s="41" t="s">
        <v>110</v>
      </c>
      <c r="K238" s="41">
        <v>1</v>
      </c>
      <c r="L238" s="41" t="s">
        <v>110</v>
      </c>
      <c r="M238" s="41">
        <v>1</v>
      </c>
      <c r="N238" s="39"/>
      <c r="O238" s="39"/>
      <c r="P238" s="5" t="s">
        <v>111</v>
      </c>
      <c r="Q238" s="41"/>
      <c r="R238" s="5" t="s">
        <v>112</v>
      </c>
      <c r="S238" s="41">
        <v>4</v>
      </c>
      <c r="T238" s="41" t="s">
        <v>801</v>
      </c>
      <c r="U238" s="41"/>
      <c r="V238" s="41"/>
      <c r="W238" s="174">
        <v>45992</v>
      </c>
      <c r="X238" s="174">
        <v>45992</v>
      </c>
      <c r="Y238" s="41"/>
      <c r="Z238" s="42" t="s">
        <v>116</v>
      </c>
      <c r="AA238" s="37" t="s">
        <v>1274</v>
      </c>
      <c r="AB238" s="42" t="s">
        <v>118</v>
      </c>
      <c r="AC238" s="42" t="s">
        <v>1275</v>
      </c>
      <c r="AD238" s="51"/>
      <c r="AE238" s="51"/>
      <c r="AF238" s="12">
        <f t="shared" si="6"/>
        <v>74</v>
      </c>
      <c r="AG238" s="7">
        <v>80</v>
      </c>
      <c r="AH238" s="7" t="s">
        <v>1276</v>
      </c>
      <c r="AI238" s="7">
        <v>60</v>
      </c>
      <c r="AJ238" s="7" t="s">
        <v>1277</v>
      </c>
      <c r="AK238" s="7">
        <v>80</v>
      </c>
      <c r="AL238" s="7" t="s">
        <v>1278</v>
      </c>
      <c r="AM238" s="7">
        <v>80</v>
      </c>
      <c r="AN238" s="7" t="s">
        <v>146</v>
      </c>
      <c r="AO238" s="63">
        <v>5.8</v>
      </c>
      <c r="AP238" s="58">
        <v>1600</v>
      </c>
      <c r="AQ238" s="58">
        <v>420</v>
      </c>
      <c r="AR238" s="58">
        <v>420</v>
      </c>
      <c r="AS238" s="30">
        <v>17052</v>
      </c>
      <c r="AT238" s="30">
        <v>9280</v>
      </c>
      <c r="AU238" s="30">
        <v>26332</v>
      </c>
      <c r="AV238" s="197">
        <v>17052</v>
      </c>
      <c r="AW238" s="197">
        <v>9280</v>
      </c>
      <c r="AX238" s="197">
        <v>26332</v>
      </c>
      <c r="AY238" s="203"/>
      <c r="AZ238" s="203"/>
      <c r="BA238" s="203">
        <v>0</v>
      </c>
      <c r="BB238" s="41" t="s">
        <v>1279</v>
      </c>
      <c r="BC238" s="191"/>
      <c r="BD238" s="190">
        <v>3</v>
      </c>
      <c r="BE238" s="30"/>
      <c r="BF238" s="186"/>
      <c r="BG238" s="183"/>
      <c r="BH238" s="183"/>
    </row>
    <row r="239" spans="1:60" ht="30" hidden="1" customHeight="1">
      <c r="A239" s="41" t="s">
        <v>1282</v>
      </c>
      <c r="B239" s="116" t="s">
        <v>1283</v>
      </c>
      <c r="C239" s="116">
        <v>2025</v>
      </c>
      <c r="D239" s="116"/>
      <c r="E239" s="117" t="s">
        <v>107</v>
      </c>
      <c r="F239" s="117" t="s">
        <v>108</v>
      </c>
      <c r="G239" s="116" t="s">
        <v>1284</v>
      </c>
      <c r="H239" s="119"/>
      <c r="I239" s="118"/>
      <c r="J239" s="41" t="s">
        <v>110</v>
      </c>
      <c r="K239" s="41">
        <v>2</v>
      </c>
      <c r="L239" s="41" t="s">
        <v>178</v>
      </c>
      <c r="M239" s="41">
        <v>1</v>
      </c>
      <c r="N239" s="39"/>
      <c r="O239" s="39"/>
      <c r="P239" s="5" t="s">
        <v>111</v>
      </c>
      <c r="Q239" s="41"/>
      <c r="R239" s="5" t="s">
        <v>112</v>
      </c>
      <c r="S239" s="41">
        <v>5</v>
      </c>
      <c r="T239" s="41" t="s">
        <v>801</v>
      </c>
      <c r="U239" s="41"/>
      <c r="V239" s="41"/>
      <c r="W239" s="174">
        <v>45992</v>
      </c>
      <c r="X239" s="174">
        <v>45992</v>
      </c>
      <c r="Y239" s="41"/>
      <c r="Z239" s="42" t="s">
        <v>116</v>
      </c>
      <c r="AA239" s="37" t="s">
        <v>1285</v>
      </c>
      <c r="AB239" s="42" t="s">
        <v>118</v>
      </c>
      <c r="AC239" s="42" t="s">
        <v>446</v>
      </c>
      <c r="AD239" s="51"/>
      <c r="AE239" s="51"/>
      <c r="AF239" s="12">
        <f t="shared" si="6"/>
        <v>74</v>
      </c>
      <c r="AG239" s="7">
        <v>60</v>
      </c>
      <c r="AH239" s="7"/>
      <c r="AI239" s="7">
        <v>80</v>
      </c>
      <c r="AJ239" s="7"/>
      <c r="AK239" s="7">
        <v>80</v>
      </c>
      <c r="AL239" s="7"/>
      <c r="AM239" s="7">
        <v>100</v>
      </c>
      <c r="AN239" s="7"/>
      <c r="AO239" s="63">
        <v>5.8</v>
      </c>
      <c r="AP239" s="58">
        <v>1600</v>
      </c>
      <c r="AQ239" s="58">
        <f>AVERAGE(460,420)</f>
        <v>440</v>
      </c>
      <c r="AR239" s="58">
        <f>AVERAGE(460,420)</f>
        <v>440</v>
      </c>
      <c r="AS239" s="30">
        <v>40832</v>
      </c>
      <c r="AT239" s="30">
        <v>18560</v>
      </c>
      <c r="AU239" s="30">
        <v>59392</v>
      </c>
      <c r="AV239" s="197">
        <v>20416</v>
      </c>
      <c r="AW239" s="197">
        <v>9280</v>
      </c>
      <c r="AX239" s="197">
        <v>29696</v>
      </c>
      <c r="AY239" s="203"/>
      <c r="AZ239" s="203"/>
      <c r="BA239" s="203">
        <v>0</v>
      </c>
      <c r="BB239" s="41" t="s">
        <v>870</v>
      </c>
      <c r="BC239" s="191"/>
      <c r="BD239" s="190">
        <v>3</v>
      </c>
      <c r="BE239" s="30"/>
      <c r="BF239" s="186"/>
      <c r="BG239" s="183"/>
      <c r="BH239" s="183"/>
    </row>
    <row r="240" spans="1:60" ht="30" hidden="1" customHeight="1">
      <c r="A240" s="41" t="s">
        <v>122</v>
      </c>
      <c r="B240" s="116" t="s">
        <v>1286</v>
      </c>
      <c r="C240" s="116" t="s">
        <v>175</v>
      </c>
      <c r="D240" s="116"/>
      <c r="E240" s="117" t="s">
        <v>216</v>
      </c>
      <c r="F240" s="117" t="s">
        <v>152</v>
      </c>
      <c r="G240" s="116" t="s">
        <v>1287</v>
      </c>
      <c r="H240" s="119"/>
      <c r="I240" s="118"/>
      <c r="J240" s="41" t="s">
        <v>110</v>
      </c>
      <c r="K240" s="41">
        <v>1</v>
      </c>
      <c r="L240" s="41" t="s">
        <v>110</v>
      </c>
      <c r="M240" s="41">
        <v>1</v>
      </c>
      <c r="N240" s="39"/>
      <c r="O240" s="39"/>
      <c r="P240" s="5" t="s">
        <v>111</v>
      </c>
      <c r="Q240" s="41"/>
      <c r="R240" s="5" t="s">
        <v>112</v>
      </c>
      <c r="S240" s="41">
        <v>3</v>
      </c>
      <c r="T240" s="41" t="s">
        <v>130</v>
      </c>
      <c r="U240" s="41" t="s">
        <v>130</v>
      </c>
      <c r="V240" s="41"/>
      <c r="W240" s="174">
        <v>45992</v>
      </c>
      <c r="X240" s="174">
        <v>45992</v>
      </c>
      <c r="Y240" s="41"/>
      <c r="Z240" s="42" t="s">
        <v>116</v>
      </c>
      <c r="AA240" s="42"/>
      <c r="AB240" s="42" t="s">
        <v>118</v>
      </c>
      <c r="AC240" s="42"/>
      <c r="AD240" s="42"/>
      <c r="AE240" s="42"/>
      <c r="AF240" s="12">
        <f t="shared" si="6"/>
        <v>72</v>
      </c>
      <c r="AG240" s="7">
        <v>80</v>
      </c>
      <c r="AH240" s="7"/>
      <c r="AI240" s="7">
        <v>80</v>
      </c>
      <c r="AJ240" s="7"/>
      <c r="AK240" s="7">
        <v>40</v>
      </c>
      <c r="AL240" s="7"/>
      <c r="AM240" s="7">
        <v>80</v>
      </c>
      <c r="AN240" s="7"/>
      <c r="AO240" s="63">
        <v>5.8</v>
      </c>
      <c r="AP240" s="58">
        <v>1600</v>
      </c>
      <c r="AQ240" s="58">
        <v>330</v>
      </c>
      <c r="AR240" s="58">
        <v>330</v>
      </c>
      <c r="AS240" s="30">
        <v>11484</v>
      </c>
      <c r="AT240" s="30">
        <v>9280</v>
      </c>
      <c r="AU240" s="30">
        <v>20764</v>
      </c>
      <c r="AV240" s="197">
        <v>11484</v>
      </c>
      <c r="AW240" s="197">
        <v>9280</v>
      </c>
      <c r="AX240" s="197">
        <v>20764</v>
      </c>
      <c r="AY240" s="203"/>
      <c r="AZ240" s="203"/>
      <c r="BA240" s="203">
        <v>0</v>
      </c>
      <c r="BB240" s="41" t="s">
        <v>1288</v>
      </c>
      <c r="BC240" s="191"/>
      <c r="BD240" s="189">
        <v>3</v>
      </c>
      <c r="BE240" s="30" t="s">
        <v>1289</v>
      </c>
      <c r="BF240" s="186"/>
      <c r="BG240" s="183"/>
      <c r="BH240" s="183"/>
    </row>
    <row r="241" spans="1:60" ht="30" hidden="1" customHeight="1">
      <c r="A241" s="41" t="s">
        <v>122</v>
      </c>
      <c r="B241" s="116" t="s">
        <v>1290</v>
      </c>
      <c r="C241" s="116" t="s">
        <v>786</v>
      </c>
      <c r="D241" s="116"/>
      <c r="E241" s="117" t="s">
        <v>216</v>
      </c>
      <c r="F241" s="117" t="s">
        <v>152</v>
      </c>
      <c r="G241" s="116" t="s">
        <v>1287</v>
      </c>
      <c r="H241" s="119"/>
      <c r="I241" s="118"/>
      <c r="J241" s="41" t="s">
        <v>110</v>
      </c>
      <c r="K241" s="41">
        <v>1</v>
      </c>
      <c r="L241" s="41" t="s">
        <v>110</v>
      </c>
      <c r="M241" s="41">
        <v>1</v>
      </c>
      <c r="N241" s="39"/>
      <c r="O241" s="39"/>
      <c r="P241" s="5" t="s">
        <v>111</v>
      </c>
      <c r="Q241" s="41"/>
      <c r="R241" s="5" t="s">
        <v>112</v>
      </c>
      <c r="S241" s="41">
        <v>3</v>
      </c>
      <c r="T241" s="41" t="s">
        <v>130</v>
      </c>
      <c r="U241" s="41" t="s">
        <v>130</v>
      </c>
      <c r="V241" s="41"/>
      <c r="W241" s="174">
        <v>45992</v>
      </c>
      <c r="X241" s="174">
        <v>45992</v>
      </c>
      <c r="Y241" s="41"/>
      <c r="Z241" s="42" t="s">
        <v>116</v>
      </c>
      <c r="AA241" s="42" t="s">
        <v>1291</v>
      </c>
      <c r="AB241" s="42" t="s">
        <v>118</v>
      </c>
      <c r="AC241" s="42"/>
      <c r="AD241" s="42"/>
      <c r="AE241" s="42"/>
      <c r="AF241" s="12">
        <f t="shared" si="6"/>
        <v>72</v>
      </c>
      <c r="AG241" s="7">
        <v>80</v>
      </c>
      <c r="AH241" s="7"/>
      <c r="AI241" s="7">
        <v>80</v>
      </c>
      <c r="AJ241" s="7"/>
      <c r="AK241" s="7">
        <v>40</v>
      </c>
      <c r="AL241" s="7"/>
      <c r="AM241" s="7">
        <v>80</v>
      </c>
      <c r="AN241" s="7"/>
      <c r="AO241" s="63">
        <v>5.8</v>
      </c>
      <c r="AP241" s="58">
        <v>1600</v>
      </c>
      <c r="AQ241" s="58">
        <v>330</v>
      </c>
      <c r="AR241" s="58">
        <v>330</v>
      </c>
      <c r="AS241" s="30">
        <v>11484</v>
      </c>
      <c r="AT241" s="30">
        <v>9280</v>
      </c>
      <c r="AU241" s="30">
        <v>20764</v>
      </c>
      <c r="AV241" s="197">
        <v>11484</v>
      </c>
      <c r="AW241" s="197">
        <v>9280</v>
      </c>
      <c r="AX241" s="197">
        <v>20764</v>
      </c>
      <c r="AY241" s="203"/>
      <c r="AZ241" s="203"/>
      <c r="BA241" s="203">
        <v>0</v>
      </c>
      <c r="BB241" s="41" t="s">
        <v>1292</v>
      </c>
      <c r="BC241" s="191"/>
      <c r="BD241" s="189">
        <v>3</v>
      </c>
      <c r="BE241" s="30" t="s">
        <v>1289</v>
      </c>
      <c r="BF241" s="186"/>
      <c r="BG241" s="183"/>
      <c r="BH241" s="183"/>
    </row>
    <row r="242" spans="1:60" ht="30" hidden="1" customHeight="1">
      <c r="A242" s="41" t="s">
        <v>1293</v>
      </c>
      <c r="B242" s="116" t="s">
        <v>1294</v>
      </c>
      <c r="C242" s="116">
        <v>2025</v>
      </c>
      <c r="D242" s="116"/>
      <c r="E242" s="117" t="s">
        <v>434</v>
      </c>
      <c r="F242" s="117" t="s">
        <v>166</v>
      </c>
      <c r="G242" s="116" t="s">
        <v>1295</v>
      </c>
      <c r="H242" s="119"/>
      <c r="I242" s="118"/>
      <c r="J242" s="41" t="s">
        <v>110</v>
      </c>
      <c r="K242" s="41">
        <v>2</v>
      </c>
      <c r="L242" s="41" t="s">
        <v>110</v>
      </c>
      <c r="M242" s="41">
        <v>2</v>
      </c>
      <c r="N242" s="39" t="s">
        <v>115</v>
      </c>
      <c r="O242" s="39">
        <v>1</v>
      </c>
      <c r="P242" s="5" t="s">
        <v>111</v>
      </c>
      <c r="Q242" s="41"/>
      <c r="R242" s="5" t="s">
        <v>112</v>
      </c>
      <c r="S242" s="41">
        <v>5</v>
      </c>
      <c r="T242" s="41" t="s">
        <v>397</v>
      </c>
      <c r="U242" s="41"/>
      <c r="V242" s="41"/>
      <c r="W242" s="174">
        <v>45992</v>
      </c>
      <c r="X242" s="174">
        <v>45992</v>
      </c>
      <c r="Y242" s="41"/>
      <c r="Z242" s="42" t="s">
        <v>267</v>
      </c>
      <c r="AA242" s="37" t="s">
        <v>1296</v>
      </c>
      <c r="AB242" s="42" t="s">
        <v>345</v>
      </c>
      <c r="AC242" s="42" t="s">
        <v>562</v>
      </c>
      <c r="AD242" s="51"/>
      <c r="AE242" s="51"/>
      <c r="AF242" s="12">
        <f t="shared" si="6"/>
        <v>72</v>
      </c>
      <c r="AG242" s="7">
        <v>60</v>
      </c>
      <c r="AH242" s="7"/>
      <c r="AI242" s="7">
        <v>80</v>
      </c>
      <c r="AJ242" s="7"/>
      <c r="AK242" s="7">
        <v>80</v>
      </c>
      <c r="AL242" s="7"/>
      <c r="AM242" s="7">
        <v>80</v>
      </c>
      <c r="AN242" s="7"/>
      <c r="AO242" s="63">
        <v>5.8</v>
      </c>
      <c r="AP242" s="58">
        <v>1600</v>
      </c>
      <c r="AQ242" s="58">
        <v>280</v>
      </c>
      <c r="AR242" s="58">
        <v>280</v>
      </c>
      <c r="AS242" s="30">
        <v>25984</v>
      </c>
      <c r="AT242" s="30">
        <v>18560</v>
      </c>
      <c r="AU242" s="30">
        <v>44544</v>
      </c>
      <c r="AV242" s="197">
        <v>25984</v>
      </c>
      <c r="AW242" s="197">
        <v>18560</v>
      </c>
      <c r="AX242" s="197">
        <v>44544</v>
      </c>
      <c r="AY242" s="203"/>
      <c r="AZ242" s="203"/>
      <c r="BA242" s="203">
        <v>0</v>
      </c>
      <c r="BB242" s="41" t="s">
        <v>1297</v>
      </c>
      <c r="BC242" s="191"/>
      <c r="BD242" s="190">
        <v>3</v>
      </c>
      <c r="BE242" s="30"/>
      <c r="BF242" s="186"/>
      <c r="BG242" s="183"/>
      <c r="BH242" s="183"/>
    </row>
    <row r="243" spans="1:60" ht="30" hidden="1" customHeight="1">
      <c r="A243" s="41" t="s">
        <v>122</v>
      </c>
      <c r="B243" s="116" t="s">
        <v>1298</v>
      </c>
      <c r="C243" s="116" t="s">
        <v>175</v>
      </c>
      <c r="D243" s="116"/>
      <c r="E243" s="117" t="s">
        <v>165</v>
      </c>
      <c r="F243" s="117" t="s">
        <v>166</v>
      </c>
      <c r="G243" s="116" t="s">
        <v>1299</v>
      </c>
      <c r="H243" s="119"/>
      <c r="I243" s="118"/>
      <c r="J243" s="41" t="s">
        <v>110</v>
      </c>
      <c r="K243" s="41">
        <v>2</v>
      </c>
      <c r="L243" s="41" t="s">
        <v>110</v>
      </c>
      <c r="M243" s="41">
        <v>1</v>
      </c>
      <c r="N243" s="39" t="s">
        <v>115</v>
      </c>
      <c r="O243" s="39">
        <v>1</v>
      </c>
      <c r="P243" s="5" t="s">
        <v>111</v>
      </c>
      <c r="Q243" s="41"/>
      <c r="R243" s="5" t="s">
        <v>112</v>
      </c>
      <c r="S243" s="41">
        <v>5</v>
      </c>
      <c r="T243" s="41" t="s">
        <v>285</v>
      </c>
      <c r="U243" s="41"/>
      <c r="V243" s="41"/>
      <c r="W243" s="174">
        <v>45992</v>
      </c>
      <c r="X243" s="174">
        <v>45992</v>
      </c>
      <c r="Y243" s="41"/>
      <c r="Z243" s="42" t="s">
        <v>116</v>
      </c>
      <c r="AA243" s="42" t="s">
        <v>1300</v>
      </c>
      <c r="AB243" s="42" t="s">
        <v>118</v>
      </c>
      <c r="AC243" s="42" t="s">
        <v>1301</v>
      </c>
      <c r="AD243" s="42"/>
      <c r="AE243" s="42"/>
      <c r="AF243" s="12">
        <f t="shared" si="6"/>
        <v>72</v>
      </c>
      <c r="AG243" s="7">
        <v>60</v>
      </c>
      <c r="AH243" s="7" t="s">
        <v>288</v>
      </c>
      <c r="AI243" s="7">
        <v>80</v>
      </c>
      <c r="AJ243" s="7" t="s">
        <v>172</v>
      </c>
      <c r="AK243" s="7">
        <v>80</v>
      </c>
      <c r="AL243" s="7" t="s">
        <v>1302</v>
      </c>
      <c r="AM243" s="7">
        <v>80</v>
      </c>
      <c r="AN243" s="7"/>
      <c r="AO243" s="63">
        <v>5.8</v>
      </c>
      <c r="AP243" s="58">
        <v>1600</v>
      </c>
      <c r="AQ243" s="58">
        <f>AVERAGE(330,320)</f>
        <v>325</v>
      </c>
      <c r="AR243" s="58">
        <v>330</v>
      </c>
      <c r="AS243" s="30">
        <v>30160</v>
      </c>
      <c r="AT243" s="30">
        <v>18560</v>
      </c>
      <c r="AU243" s="30">
        <v>48720</v>
      </c>
      <c r="AV243" s="197">
        <v>15312</v>
      </c>
      <c r="AW243" s="197">
        <v>9280</v>
      </c>
      <c r="AX243" s="197">
        <v>24592</v>
      </c>
      <c r="AY243" s="203"/>
      <c r="AZ243" s="203"/>
      <c r="BA243" s="203">
        <v>0</v>
      </c>
      <c r="BB243" s="41" t="s">
        <v>1303</v>
      </c>
      <c r="BC243" s="191"/>
      <c r="BD243" s="189">
        <v>3</v>
      </c>
      <c r="BE243" s="30"/>
      <c r="BF243" s="186"/>
      <c r="BG243" s="183"/>
      <c r="BH243" s="183"/>
    </row>
    <row r="244" spans="1:60" ht="30" hidden="1" customHeight="1">
      <c r="A244" s="41" t="s">
        <v>122</v>
      </c>
      <c r="B244" s="116" t="s">
        <v>1304</v>
      </c>
      <c r="C244" s="116" t="s">
        <v>786</v>
      </c>
      <c r="D244" s="116"/>
      <c r="E244" s="117" t="s">
        <v>165</v>
      </c>
      <c r="F244" s="117" t="s">
        <v>166</v>
      </c>
      <c r="G244" s="116" t="s">
        <v>1299</v>
      </c>
      <c r="H244" s="119"/>
      <c r="I244" s="118"/>
      <c r="J244" s="41" t="s">
        <v>110</v>
      </c>
      <c r="K244" s="41">
        <v>2</v>
      </c>
      <c r="L244" s="41" t="s">
        <v>110</v>
      </c>
      <c r="M244" s="41">
        <v>1</v>
      </c>
      <c r="N244" s="39" t="s">
        <v>115</v>
      </c>
      <c r="O244" s="39">
        <v>1</v>
      </c>
      <c r="P244" s="5" t="s">
        <v>111</v>
      </c>
      <c r="Q244" s="41"/>
      <c r="R244" s="41" t="s">
        <v>112</v>
      </c>
      <c r="S244" s="41">
        <v>5</v>
      </c>
      <c r="T244" s="41" t="s">
        <v>801</v>
      </c>
      <c r="U244" s="41"/>
      <c r="V244" s="5"/>
      <c r="W244" s="174">
        <v>45992</v>
      </c>
      <c r="X244" s="174">
        <v>45992</v>
      </c>
      <c r="Y244" s="41"/>
      <c r="Z244" s="42" t="s">
        <v>116</v>
      </c>
      <c r="AA244" s="42" t="s">
        <v>1300</v>
      </c>
      <c r="AB244" s="42" t="s">
        <v>118</v>
      </c>
      <c r="AC244" s="42" t="s">
        <v>1301</v>
      </c>
      <c r="AD244" s="42"/>
      <c r="AE244" s="42"/>
      <c r="AF244" s="12">
        <f t="shared" si="6"/>
        <v>72</v>
      </c>
      <c r="AG244" s="7">
        <v>60</v>
      </c>
      <c r="AH244" s="7" t="s">
        <v>288</v>
      </c>
      <c r="AI244" s="7">
        <v>80</v>
      </c>
      <c r="AJ244" s="7" t="s">
        <v>172</v>
      </c>
      <c r="AK244" s="7">
        <v>80</v>
      </c>
      <c r="AL244" s="7" t="s">
        <v>1302</v>
      </c>
      <c r="AM244" s="7">
        <v>80</v>
      </c>
      <c r="AN244" s="7"/>
      <c r="AO244" s="63">
        <v>5.8</v>
      </c>
      <c r="AP244" s="58">
        <v>1600</v>
      </c>
      <c r="AQ244" s="58">
        <f>AVERAGE(420,390)</f>
        <v>405</v>
      </c>
      <c r="AR244" s="58">
        <v>420</v>
      </c>
      <c r="AS244" s="30">
        <v>37584</v>
      </c>
      <c r="AT244" s="30">
        <v>18560</v>
      </c>
      <c r="AU244" s="30">
        <v>56144</v>
      </c>
      <c r="AV244" s="197">
        <v>19488</v>
      </c>
      <c r="AW244" s="197">
        <v>9280</v>
      </c>
      <c r="AX244" s="197">
        <v>28768</v>
      </c>
      <c r="AY244" s="203"/>
      <c r="AZ244" s="203"/>
      <c r="BA244" s="203">
        <v>0</v>
      </c>
      <c r="BB244" s="41" t="s">
        <v>1303</v>
      </c>
      <c r="BC244" s="191"/>
      <c r="BD244" s="189">
        <v>3</v>
      </c>
      <c r="BE244" s="30"/>
      <c r="BF244" s="186"/>
      <c r="BG244" s="183"/>
      <c r="BH244" s="183"/>
    </row>
    <row r="245" spans="1:60" ht="30" hidden="1" customHeight="1">
      <c r="A245" s="41" t="s">
        <v>122</v>
      </c>
      <c r="B245" s="116" t="s">
        <v>1305</v>
      </c>
      <c r="C245" s="116" t="s">
        <v>1306</v>
      </c>
      <c r="D245" s="116"/>
      <c r="E245" s="117" t="s">
        <v>126</v>
      </c>
      <c r="F245" s="117" t="s">
        <v>127</v>
      </c>
      <c r="G245" s="116" t="s">
        <v>1307</v>
      </c>
      <c r="H245" s="119"/>
      <c r="I245" s="118"/>
      <c r="J245" s="41" t="s">
        <v>110</v>
      </c>
      <c r="K245" s="41">
        <v>2</v>
      </c>
      <c r="L245" s="41" t="s">
        <v>110</v>
      </c>
      <c r="M245" s="41">
        <v>2</v>
      </c>
      <c r="N245" s="39"/>
      <c r="O245" s="39"/>
      <c r="P245" s="5" t="s">
        <v>111</v>
      </c>
      <c r="Q245" s="41"/>
      <c r="R245" s="41" t="s">
        <v>112</v>
      </c>
      <c r="S245" s="41">
        <v>4</v>
      </c>
      <c r="T245" s="41" t="s">
        <v>801</v>
      </c>
      <c r="U245" s="41"/>
      <c r="V245" s="5"/>
      <c r="W245" s="174">
        <v>45992</v>
      </c>
      <c r="X245" s="174">
        <v>45992</v>
      </c>
      <c r="Y245" s="41"/>
      <c r="Z245" s="42" t="s">
        <v>116</v>
      </c>
      <c r="AA245" s="42" t="s">
        <v>807</v>
      </c>
      <c r="AB245" s="42" t="s">
        <v>118</v>
      </c>
      <c r="AC245" s="42" t="s">
        <v>132</v>
      </c>
      <c r="AD245" s="42"/>
      <c r="AE245" s="42"/>
      <c r="AF245" s="12">
        <f t="shared" si="6"/>
        <v>72</v>
      </c>
      <c r="AG245" s="7">
        <v>80</v>
      </c>
      <c r="AH245" s="7" t="s">
        <v>808</v>
      </c>
      <c r="AI245" s="7">
        <v>80</v>
      </c>
      <c r="AJ245" s="7" t="s">
        <v>809</v>
      </c>
      <c r="AK245" s="7">
        <v>40</v>
      </c>
      <c r="AL245" s="7"/>
      <c r="AM245" s="7">
        <v>80</v>
      </c>
      <c r="AN245" s="7"/>
      <c r="AO245" s="63">
        <v>5.8</v>
      </c>
      <c r="AP245" s="58">
        <v>1600</v>
      </c>
      <c r="AQ245" s="58">
        <v>390</v>
      </c>
      <c r="AR245" s="58">
        <v>390</v>
      </c>
      <c r="AS245" s="30">
        <v>31668</v>
      </c>
      <c r="AT245" s="30">
        <v>18560</v>
      </c>
      <c r="AU245" s="30">
        <v>50228</v>
      </c>
      <c r="AV245" s="197">
        <v>31668</v>
      </c>
      <c r="AW245" s="197">
        <v>18560</v>
      </c>
      <c r="AX245" s="197">
        <v>50228</v>
      </c>
      <c r="AY245" s="203"/>
      <c r="AZ245" s="203"/>
      <c r="BA245" s="203">
        <v>0</v>
      </c>
      <c r="BB245" s="41" t="s">
        <v>1308</v>
      </c>
      <c r="BC245" s="191"/>
      <c r="BD245" s="189">
        <v>3</v>
      </c>
      <c r="BE245" s="30"/>
      <c r="BF245" s="186"/>
      <c r="BG245" s="183"/>
      <c r="BH245" s="183"/>
    </row>
    <row r="246" spans="1:60" ht="30" hidden="1" customHeight="1">
      <c r="A246" s="41" t="s">
        <v>122</v>
      </c>
      <c r="B246" s="116" t="s">
        <v>1309</v>
      </c>
      <c r="C246" s="116">
        <v>2025</v>
      </c>
      <c r="D246" s="116"/>
      <c r="E246" s="117" t="s">
        <v>126</v>
      </c>
      <c r="F246" s="117" t="s">
        <v>152</v>
      </c>
      <c r="G246" s="116" t="s">
        <v>1310</v>
      </c>
      <c r="H246" s="119"/>
      <c r="I246" s="118"/>
      <c r="J246" s="41" t="s">
        <v>110</v>
      </c>
      <c r="K246" s="41">
        <v>1</v>
      </c>
      <c r="L246" s="41" t="s">
        <v>110</v>
      </c>
      <c r="M246" s="41">
        <v>1</v>
      </c>
      <c r="N246" s="39" t="s">
        <v>115</v>
      </c>
      <c r="O246" s="39">
        <v>1</v>
      </c>
      <c r="P246" s="5" t="s">
        <v>111</v>
      </c>
      <c r="Q246" s="41"/>
      <c r="R246" s="5" t="s">
        <v>112</v>
      </c>
      <c r="S246" s="41">
        <v>3</v>
      </c>
      <c r="T246" s="41" t="s">
        <v>139</v>
      </c>
      <c r="U246" s="41"/>
      <c r="V246" s="5"/>
      <c r="W246" s="174">
        <v>45992</v>
      </c>
      <c r="X246" s="174">
        <v>45992</v>
      </c>
      <c r="Y246" s="41"/>
      <c r="Z246" s="42" t="s">
        <v>116</v>
      </c>
      <c r="AA246" s="42" t="s">
        <v>1311</v>
      </c>
      <c r="AB246" s="42" t="s">
        <v>118</v>
      </c>
      <c r="AC246" s="42"/>
      <c r="AD246" s="42"/>
      <c r="AE246" s="42"/>
      <c r="AF246" s="12">
        <f t="shared" si="6"/>
        <v>72</v>
      </c>
      <c r="AG246" s="7">
        <v>80</v>
      </c>
      <c r="AH246" s="7"/>
      <c r="AI246" s="7">
        <v>80</v>
      </c>
      <c r="AJ246" s="7" t="s">
        <v>1312</v>
      </c>
      <c r="AK246" s="7">
        <v>40</v>
      </c>
      <c r="AL246" s="7"/>
      <c r="AM246" s="7">
        <v>80</v>
      </c>
      <c r="AN246" s="7"/>
      <c r="AO246" s="63">
        <v>5.8</v>
      </c>
      <c r="AP246" s="58">
        <v>1600</v>
      </c>
      <c r="AQ246" s="58">
        <v>390</v>
      </c>
      <c r="AR246" s="58">
        <v>390</v>
      </c>
      <c r="AS246" s="30">
        <v>13572</v>
      </c>
      <c r="AT246" s="30">
        <v>9280</v>
      </c>
      <c r="AU246" s="30">
        <v>22852</v>
      </c>
      <c r="AV246" s="198">
        <v>13572</v>
      </c>
      <c r="AW246" s="197">
        <v>9280</v>
      </c>
      <c r="AX246" s="197">
        <v>22852</v>
      </c>
      <c r="AY246" s="203"/>
      <c r="AZ246" s="203"/>
      <c r="BA246" s="203">
        <v>0</v>
      </c>
      <c r="BB246" s="41" t="s">
        <v>1313</v>
      </c>
      <c r="BC246" s="191"/>
      <c r="BD246" s="189">
        <v>3</v>
      </c>
      <c r="BE246" s="30"/>
      <c r="BF246" s="186"/>
      <c r="BG246" s="183"/>
      <c r="BH246" s="183"/>
    </row>
    <row r="247" spans="1:60" ht="30" hidden="1" customHeight="1">
      <c r="A247" s="41" t="s">
        <v>122</v>
      </c>
      <c r="B247" s="116" t="s">
        <v>1314</v>
      </c>
      <c r="C247" s="116">
        <v>2025</v>
      </c>
      <c r="D247" s="116"/>
      <c r="E247" s="117" t="s">
        <v>126</v>
      </c>
      <c r="F247" s="117" t="s">
        <v>152</v>
      </c>
      <c r="G247" s="116" t="s">
        <v>1315</v>
      </c>
      <c r="H247" s="119"/>
      <c r="I247" s="118"/>
      <c r="J247" s="41" t="s">
        <v>110</v>
      </c>
      <c r="K247" s="41">
        <v>1</v>
      </c>
      <c r="L247" s="41" t="s">
        <v>110</v>
      </c>
      <c r="M247" s="41">
        <v>1</v>
      </c>
      <c r="N247" s="39"/>
      <c r="O247" s="39"/>
      <c r="P247" s="5" t="s">
        <v>111</v>
      </c>
      <c r="Q247" s="41"/>
      <c r="R247" s="41" t="s">
        <v>799</v>
      </c>
      <c r="S247" s="41">
        <v>3</v>
      </c>
      <c r="T247" s="41" t="s">
        <v>285</v>
      </c>
      <c r="U247" s="41"/>
      <c r="V247" s="5"/>
      <c r="W247" s="174">
        <v>45992</v>
      </c>
      <c r="X247" s="174">
        <v>45992</v>
      </c>
      <c r="Y247" s="41"/>
      <c r="Z247" s="42" t="s">
        <v>116</v>
      </c>
      <c r="AA247" s="42" t="s">
        <v>1316</v>
      </c>
      <c r="AB247" s="42" t="s">
        <v>118</v>
      </c>
      <c r="AC247" s="42"/>
      <c r="AD247" s="42"/>
      <c r="AE247" s="42"/>
      <c r="AF247" s="12">
        <f t="shared" si="6"/>
        <v>72</v>
      </c>
      <c r="AG247" s="7">
        <v>80</v>
      </c>
      <c r="AH247" s="7"/>
      <c r="AI247" s="7">
        <v>80</v>
      </c>
      <c r="AJ247" s="7" t="s">
        <v>1317</v>
      </c>
      <c r="AK247" s="7">
        <v>40</v>
      </c>
      <c r="AL247" s="7"/>
      <c r="AM247" s="7">
        <v>80</v>
      </c>
      <c r="AN247" s="7"/>
      <c r="AO247" s="63">
        <v>5.8</v>
      </c>
      <c r="AP247" s="58">
        <v>1600</v>
      </c>
      <c r="AQ247" s="58">
        <v>330</v>
      </c>
      <c r="AR247" s="58">
        <v>330</v>
      </c>
      <c r="AS247" s="30">
        <v>11484</v>
      </c>
      <c r="AT247" s="30">
        <v>9280</v>
      </c>
      <c r="AU247" s="30">
        <v>20764</v>
      </c>
      <c r="AV247" s="197">
        <v>11484</v>
      </c>
      <c r="AW247" s="197">
        <v>9280</v>
      </c>
      <c r="AX247" s="197">
        <v>20764</v>
      </c>
      <c r="AY247" s="203"/>
      <c r="AZ247" s="203"/>
      <c r="BA247" s="203">
        <v>0</v>
      </c>
      <c r="BB247" s="41" t="s">
        <v>799</v>
      </c>
      <c r="BC247" s="191"/>
      <c r="BD247" s="189">
        <v>3</v>
      </c>
      <c r="BE247" s="30"/>
      <c r="BF247" s="186"/>
      <c r="BG247" s="183"/>
      <c r="BH247" s="183"/>
    </row>
    <row r="248" spans="1:60" ht="30" hidden="1" customHeight="1">
      <c r="A248" s="41" t="s">
        <v>122</v>
      </c>
      <c r="B248" s="116" t="s">
        <v>1318</v>
      </c>
      <c r="C248" s="116" t="s">
        <v>352</v>
      </c>
      <c r="D248" s="116"/>
      <c r="E248" s="117" t="s">
        <v>274</v>
      </c>
      <c r="F248" s="117" t="s">
        <v>275</v>
      </c>
      <c r="G248" s="116" t="s">
        <v>1319</v>
      </c>
      <c r="H248" s="119"/>
      <c r="I248" s="118"/>
      <c r="J248" s="41" t="s">
        <v>110</v>
      </c>
      <c r="K248" s="41">
        <v>0</v>
      </c>
      <c r="L248" s="41" t="s">
        <v>110</v>
      </c>
      <c r="M248" s="41">
        <v>0</v>
      </c>
      <c r="N248" s="39"/>
      <c r="O248" s="39"/>
      <c r="P248" s="5" t="s">
        <v>111</v>
      </c>
      <c r="Q248" s="41"/>
      <c r="R248" s="5" t="s">
        <v>130</v>
      </c>
      <c r="S248" s="41">
        <v>5</v>
      </c>
      <c r="T248" s="41" t="s">
        <v>130</v>
      </c>
      <c r="U248" s="41" t="s">
        <v>130</v>
      </c>
      <c r="V248" s="5" t="s">
        <v>130</v>
      </c>
      <c r="W248" s="174">
        <v>45992</v>
      </c>
      <c r="X248" s="174">
        <v>45992</v>
      </c>
      <c r="Y248" s="41"/>
      <c r="Z248" s="42" t="s">
        <v>116</v>
      </c>
      <c r="AA248" s="37" t="s">
        <v>1320</v>
      </c>
      <c r="AB248" s="42" t="s">
        <v>118</v>
      </c>
      <c r="AC248" s="42" t="s">
        <v>1321</v>
      </c>
      <c r="AD248" s="51"/>
      <c r="AE248" s="51"/>
      <c r="AF248" s="12">
        <f t="shared" si="6"/>
        <v>72</v>
      </c>
      <c r="AG248" s="7">
        <v>80</v>
      </c>
      <c r="AH248" s="7" t="s">
        <v>1322</v>
      </c>
      <c r="AI248" s="7">
        <v>80</v>
      </c>
      <c r="AJ248" s="7" t="s">
        <v>1323</v>
      </c>
      <c r="AK248" s="7">
        <v>40</v>
      </c>
      <c r="AL248" s="7" t="s">
        <v>710</v>
      </c>
      <c r="AM248" s="7">
        <v>80</v>
      </c>
      <c r="AN248" s="7"/>
      <c r="AO248" s="63">
        <v>5.8</v>
      </c>
      <c r="AP248" s="58"/>
      <c r="AQ248" s="58"/>
      <c r="AR248" s="58"/>
      <c r="AS248" s="30">
        <v>0</v>
      </c>
      <c r="AT248" s="30">
        <v>0</v>
      </c>
      <c r="AU248" s="30">
        <v>0</v>
      </c>
      <c r="AV248" s="197">
        <v>0</v>
      </c>
      <c r="AW248" s="197">
        <v>0</v>
      </c>
      <c r="AX248" s="197">
        <v>0</v>
      </c>
      <c r="AY248" s="203"/>
      <c r="AZ248" s="203"/>
      <c r="BA248" s="203">
        <v>0</v>
      </c>
      <c r="BB248" s="41" t="s">
        <v>1324</v>
      </c>
      <c r="BC248" s="191"/>
      <c r="BD248" s="189">
        <v>0</v>
      </c>
      <c r="BE248" s="30"/>
      <c r="BF248" s="186"/>
      <c r="BG248" s="183"/>
      <c r="BH248" s="183"/>
    </row>
    <row r="249" spans="1:60" ht="30" hidden="1" customHeight="1">
      <c r="A249" s="41" t="s">
        <v>122</v>
      </c>
      <c r="B249" s="116" t="s">
        <v>1325</v>
      </c>
      <c r="C249" s="116" t="s">
        <v>352</v>
      </c>
      <c r="D249" s="116"/>
      <c r="E249" s="117" t="s">
        <v>274</v>
      </c>
      <c r="F249" s="117" t="s">
        <v>275</v>
      </c>
      <c r="G249" s="116" t="s">
        <v>1326</v>
      </c>
      <c r="H249" s="119"/>
      <c r="I249" s="118"/>
      <c r="J249" s="41" t="s">
        <v>110</v>
      </c>
      <c r="K249" s="41">
        <v>2</v>
      </c>
      <c r="L249" s="41" t="s">
        <v>110</v>
      </c>
      <c r="M249" s="41">
        <v>1</v>
      </c>
      <c r="N249" s="39" t="s">
        <v>115</v>
      </c>
      <c r="O249" s="39">
        <v>2</v>
      </c>
      <c r="P249" s="5" t="s">
        <v>111</v>
      </c>
      <c r="Q249" s="41"/>
      <c r="R249" s="5" t="s">
        <v>112</v>
      </c>
      <c r="S249" s="41">
        <v>5</v>
      </c>
      <c r="T249" s="41" t="s">
        <v>285</v>
      </c>
      <c r="U249" s="41"/>
      <c r="V249" s="5"/>
      <c r="W249" s="174">
        <v>45992</v>
      </c>
      <c r="X249" s="174">
        <v>45992</v>
      </c>
      <c r="Y249" s="41"/>
      <c r="Z249" s="42" t="s">
        <v>116</v>
      </c>
      <c r="AA249" s="37" t="s">
        <v>1320</v>
      </c>
      <c r="AB249" s="42" t="s">
        <v>118</v>
      </c>
      <c r="AC249" s="42" t="s">
        <v>1321</v>
      </c>
      <c r="AD249" s="51"/>
      <c r="AE249" s="51"/>
      <c r="AF249" s="12">
        <f t="shared" si="6"/>
        <v>72</v>
      </c>
      <c r="AG249" s="7">
        <v>80</v>
      </c>
      <c r="AH249" s="7" t="s">
        <v>1322</v>
      </c>
      <c r="AI249" s="7">
        <v>80</v>
      </c>
      <c r="AJ249" s="7" t="s">
        <v>1323</v>
      </c>
      <c r="AK249" s="7">
        <v>40</v>
      </c>
      <c r="AL249" s="7" t="s">
        <v>710</v>
      </c>
      <c r="AM249" s="7">
        <v>80</v>
      </c>
      <c r="AN249" s="7"/>
      <c r="AO249" s="63">
        <v>5.8</v>
      </c>
      <c r="AP249" s="58">
        <v>1600</v>
      </c>
      <c r="AQ249" s="58">
        <f>AVERAGE(330,320)</f>
        <v>325</v>
      </c>
      <c r="AR249" s="58">
        <f>AVERAGE(330,320)</f>
        <v>325</v>
      </c>
      <c r="AS249" s="30">
        <v>30160</v>
      </c>
      <c r="AT249" s="30">
        <v>18560</v>
      </c>
      <c r="AU249" s="30">
        <v>48720</v>
      </c>
      <c r="AV249" s="197">
        <v>5000</v>
      </c>
      <c r="AW249" s="197">
        <v>3000</v>
      </c>
      <c r="AX249" s="197">
        <v>8000</v>
      </c>
      <c r="AY249" s="203"/>
      <c r="AZ249" s="203"/>
      <c r="BA249" s="203">
        <v>0</v>
      </c>
      <c r="BB249" s="41" t="s">
        <v>1324</v>
      </c>
      <c r="BC249" s="191"/>
      <c r="BD249" s="190">
        <v>3</v>
      </c>
      <c r="BE249" s="30"/>
      <c r="BF249" s="186"/>
      <c r="BG249" s="183"/>
      <c r="BH249" s="183"/>
    </row>
    <row r="250" spans="1:60" ht="30" hidden="1" customHeight="1">
      <c r="A250" s="41" t="s">
        <v>122</v>
      </c>
      <c r="B250" s="116" t="s">
        <v>1327</v>
      </c>
      <c r="C250" s="116" t="s">
        <v>352</v>
      </c>
      <c r="D250" s="116"/>
      <c r="E250" s="117" t="s">
        <v>274</v>
      </c>
      <c r="F250" s="117" t="s">
        <v>275</v>
      </c>
      <c r="G250" s="116" t="s">
        <v>1328</v>
      </c>
      <c r="H250" s="119"/>
      <c r="I250" s="118"/>
      <c r="J250" s="41" t="s">
        <v>110</v>
      </c>
      <c r="K250" s="41">
        <v>1</v>
      </c>
      <c r="L250" s="41" t="s">
        <v>110</v>
      </c>
      <c r="M250" s="41">
        <v>1</v>
      </c>
      <c r="N250" s="39" t="s">
        <v>115</v>
      </c>
      <c r="O250" s="39">
        <v>1</v>
      </c>
      <c r="P250" s="5" t="s">
        <v>111</v>
      </c>
      <c r="Q250" s="41"/>
      <c r="R250" s="5" t="s">
        <v>112</v>
      </c>
      <c r="S250" s="41">
        <v>5</v>
      </c>
      <c r="T250" s="41" t="s">
        <v>368</v>
      </c>
      <c r="U250" s="41"/>
      <c r="V250" s="5"/>
      <c r="W250" s="174">
        <v>45992</v>
      </c>
      <c r="X250" s="174">
        <v>45992</v>
      </c>
      <c r="Y250" s="41"/>
      <c r="Z250" s="42" t="s">
        <v>116</v>
      </c>
      <c r="AA250" s="37" t="s">
        <v>706</v>
      </c>
      <c r="AB250" s="42" t="s">
        <v>118</v>
      </c>
      <c r="AC250" s="42" t="s">
        <v>707</v>
      </c>
      <c r="AD250" s="51"/>
      <c r="AE250" s="51"/>
      <c r="AF250" s="12">
        <f t="shared" si="6"/>
        <v>72</v>
      </c>
      <c r="AG250" s="7">
        <v>80</v>
      </c>
      <c r="AH250" s="7" t="s">
        <v>708</v>
      </c>
      <c r="AI250" s="7">
        <v>80</v>
      </c>
      <c r="AJ250" s="7" t="s">
        <v>709</v>
      </c>
      <c r="AK250" s="7">
        <v>40</v>
      </c>
      <c r="AL250" s="7" t="s">
        <v>710</v>
      </c>
      <c r="AM250" s="7">
        <v>80</v>
      </c>
      <c r="AN250" s="7"/>
      <c r="AO250" s="63">
        <v>5.8</v>
      </c>
      <c r="AP250" s="58">
        <v>1600</v>
      </c>
      <c r="AQ250" s="58"/>
      <c r="AR250" s="58"/>
      <c r="AS250" s="30">
        <v>3600</v>
      </c>
      <c r="AT250" s="30">
        <v>1500</v>
      </c>
      <c r="AU250" s="30">
        <v>5100</v>
      </c>
      <c r="AV250" s="197">
        <v>3600</v>
      </c>
      <c r="AW250" s="197">
        <v>1500</v>
      </c>
      <c r="AX250" s="197">
        <v>5100</v>
      </c>
      <c r="AY250" s="203"/>
      <c r="AZ250" s="203"/>
      <c r="BA250" s="203">
        <v>0</v>
      </c>
      <c r="BB250" s="41" t="s">
        <v>1329</v>
      </c>
      <c r="BC250" s="191"/>
      <c r="BD250" s="190">
        <v>3</v>
      </c>
      <c r="BE250" s="30"/>
      <c r="BF250" s="186"/>
      <c r="BG250" s="183"/>
      <c r="BH250" s="183"/>
    </row>
    <row r="251" spans="1:60" ht="30" hidden="1" customHeight="1">
      <c r="A251" s="41" t="s">
        <v>122</v>
      </c>
      <c r="B251" s="116" t="s">
        <v>1229</v>
      </c>
      <c r="C251" s="116" t="s">
        <v>1330</v>
      </c>
      <c r="D251" s="116" t="s">
        <v>1147</v>
      </c>
      <c r="E251" s="117" t="s">
        <v>274</v>
      </c>
      <c r="F251" s="117" t="s">
        <v>275</v>
      </c>
      <c r="G251" s="116" t="s">
        <v>1331</v>
      </c>
      <c r="H251" s="119"/>
      <c r="I251" s="118"/>
      <c r="J251" s="41" t="s">
        <v>110</v>
      </c>
      <c r="K251" s="41">
        <v>2</v>
      </c>
      <c r="L251" s="41" t="s">
        <v>110</v>
      </c>
      <c r="M251" s="41">
        <v>1</v>
      </c>
      <c r="N251" s="39"/>
      <c r="O251" s="39"/>
      <c r="P251" s="5" t="s">
        <v>111</v>
      </c>
      <c r="Q251" s="41"/>
      <c r="R251" s="5" t="s">
        <v>112</v>
      </c>
      <c r="S251" s="41">
        <v>5</v>
      </c>
      <c r="T251" s="41" t="s">
        <v>232</v>
      </c>
      <c r="U251" s="41"/>
      <c r="V251" s="5"/>
      <c r="W251" s="174">
        <v>45992</v>
      </c>
      <c r="X251" s="174">
        <v>45992</v>
      </c>
      <c r="Y251" s="41"/>
      <c r="Z251" s="42" t="s">
        <v>116</v>
      </c>
      <c r="AA251" s="37" t="s">
        <v>1332</v>
      </c>
      <c r="AB251" s="42" t="s">
        <v>118</v>
      </c>
      <c r="AC251" s="42" t="s">
        <v>707</v>
      </c>
      <c r="AD251" s="51"/>
      <c r="AE251" s="51"/>
      <c r="AF251" s="12">
        <f t="shared" si="6"/>
        <v>72</v>
      </c>
      <c r="AG251" s="7">
        <v>80</v>
      </c>
      <c r="AH251" s="7"/>
      <c r="AI251" s="7">
        <v>80</v>
      </c>
      <c r="AJ251" s="7" t="s">
        <v>1333</v>
      </c>
      <c r="AK251" s="7">
        <v>40</v>
      </c>
      <c r="AL251" s="7" t="s">
        <v>1334</v>
      </c>
      <c r="AM251" s="7">
        <v>80</v>
      </c>
      <c r="AN251" s="7"/>
      <c r="AO251" s="63">
        <v>5.8</v>
      </c>
      <c r="AP251" s="58">
        <v>1600</v>
      </c>
      <c r="AQ251" s="58">
        <v>370</v>
      </c>
      <c r="AR251" s="58">
        <v>370</v>
      </c>
      <c r="AS251" s="30">
        <v>34336</v>
      </c>
      <c r="AT251" s="30">
        <v>18560</v>
      </c>
      <c r="AU251" s="30">
        <v>52896</v>
      </c>
      <c r="AV251" s="197">
        <v>17168</v>
      </c>
      <c r="AW251" s="197">
        <v>9280</v>
      </c>
      <c r="AX251" s="197">
        <v>26448</v>
      </c>
      <c r="AY251" s="203"/>
      <c r="AZ251" s="203"/>
      <c r="BA251" s="203">
        <v>0</v>
      </c>
      <c r="BB251" s="41" t="s">
        <v>1335</v>
      </c>
      <c r="BC251" s="191"/>
      <c r="BD251" s="190">
        <v>3</v>
      </c>
      <c r="BE251" s="30"/>
      <c r="BF251" s="186"/>
      <c r="BG251" s="183"/>
      <c r="BH251" s="183"/>
    </row>
    <row r="252" spans="1:60" ht="30" hidden="1" customHeight="1">
      <c r="A252" s="41" t="s">
        <v>122</v>
      </c>
      <c r="B252" s="116" t="s">
        <v>1336</v>
      </c>
      <c r="C252" s="116" t="s">
        <v>1337</v>
      </c>
      <c r="D252" s="116"/>
      <c r="E252" s="117" t="s">
        <v>274</v>
      </c>
      <c r="F252" s="117" t="s">
        <v>275</v>
      </c>
      <c r="G252" s="116" t="s">
        <v>1338</v>
      </c>
      <c r="H252" s="119"/>
      <c r="I252" s="118"/>
      <c r="J252" s="41" t="s">
        <v>110</v>
      </c>
      <c r="K252" s="41">
        <v>1</v>
      </c>
      <c r="L252" s="41" t="s">
        <v>110</v>
      </c>
      <c r="M252" s="41">
        <v>1</v>
      </c>
      <c r="N252" s="39"/>
      <c r="O252" s="39"/>
      <c r="P252" s="5" t="s">
        <v>111</v>
      </c>
      <c r="Q252" s="41"/>
      <c r="R252" s="41" t="s">
        <v>112</v>
      </c>
      <c r="S252" s="41">
        <v>5</v>
      </c>
      <c r="T252" s="41" t="s">
        <v>285</v>
      </c>
      <c r="U252" s="41"/>
      <c r="V252" s="5"/>
      <c r="W252" s="174">
        <v>45992</v>
      </c>
      <c r="X252" s="174">
        <v>45992</v>
      </c>
      <c r="Y252" s="41"/>
      <c r="Z252" s="42" t="s">
        <v>116</v>
      </c>
      <c r="AA252" s="37" t="s">
        <v>1332</v>
      </c>
      <c r="AB252" s="42" t="s">
        <v>118</v>
      </c>
      <c r="AC252" s="42" t="s">
        <v>707</v>
      </c>
      <c r="AD252" s="51"/>
      <c r="AE252" s="51"/>
      <c r="AF252" s="12">
        <f t="shared" si="6"/>
        <v>72</v>
      </c>
      <c r="AG252" s="7">
        <v>80</v>
      </c>
      <c r="AH252" s="7"/>
      <c r="AI252" s="7">
        <v>80</v>
      </c>
      <c r="AJ252" s="7" t="s">
        <v>1333</v>
      </c>
      <c r="AK252" s="7">
        <v>40</v>
      </c>
      <c r="AL252" s="7" t="s">
        <v>1334</v>
      </c>
      <c r="AM252" s="7">
        <v>80</v>
      </c>
      <c r="AN252" s="7"/>
      <c r="AO252" s="63">
        <v>5.8</v>
      </c>
      <c r="AP252" s="58">
        <v>1600</v>
      </c>
      <c r="AQ252" s="58">
        <v>310</v>
      </c>
      <c r="AR252" s="58">
        <v>310</v>
      </c>
      <c r="AS252" s="30">
        <v>14384</v>
      </c>
      <c r="AT252" s="30">
        <v>9280</v>
      </c>
      <c r="AU252" s="30">
        <v>23664</v>
      </c>
      <c r="AV252" s="197">
        <v>14384</v>
      </c>
      <c r="AW252" s="197">
        <v>9280</v>
      </c>
      <c r="AX252" s="197">
        <v>23664</v>
      </c>
      <c r="AY252" s="203"/>
      <c r="AZ252" s="203"/>
      <c r="BA252" s="203">
        <v>0</v>
      </c>
      <c r="BB252" s="41" t="s">
        <v>1335</v>
      </c>
      <c r="BC252" s="191"/>
      <c r="BD252" s="190">
        <v>3</v>
      </c>
      <c r="BE252" s="30"/>
      <c r="BF252" s="186"/>
      <c r="BG252" s="183"/>
      <c r="BH252" s="183"/>
    </row>
    <row r="253" spans="1:60" ht="30" hidden="1" customHeight="1">
      <c r="A253" s="41" t="s">
        <v>122</v>
      </c>
      <c r="B253" s="116" t="s">
        <v>1339</v>
      </c>
      <c r="C253" s="116" t="s">
        <v>1340</v>
      </c>
      <c r="D253" s="116"/>
      <c r="E253" s="117" t="s">
        <v>216</v>
      </c>
      <c r="F253" s="117" t="s">
        <v>217</v>
      </c>
      <c r="G253" s="116"/>
      <c r="H253" s="119"/>
      <c r="I253" s="118"/>
      <c r="J253" s="41" t="s">
        <v>110</v>
      </c>
      <c r="K253" s="41">
        <v>0</v>
      </c>
      <c r="L253" s="41" t="s">
        <v>110</v>
      </c>
      <c r="M253" s="41">
        <v>0</v>
      </c>
      <c r="N253" s="39" t="s">
        <v>115</v>
      </c>
      <c r="O253" s="39">
        <v>0</v>
      </c>
      <c r="P253" s="5" t="s">
        <v>111</v>
      </c>
      <c r="Q253" s="41"/>
      <c r="R253" s="5" t="s">
        <v>130</v>
      </c>
      <c r="S253" s="41">
        <v>0</v>
      </c>
      <c r="T253" s="118" t="s">
        <v>130</v>
      </c>
      <c r="U253" s="41" t="s">
        <v>130</v>
      </c>
      <c r="V253" s="5"/>
      <c r="W253" s="174">
        <v>45992</v>
      </c>
      <c r="X253" s="174">
        <v>45992</v>
      </c>
      <c r="Y253" s="118"/>
      <c r="Z253" s="42" t="s">
        <v>116</v>
      </c>
      <c r="AA253" s="42" t="s">
        <v>1341</v>
      </c>
      <c r="AB253" s="42" t="s">
        <v>118</v>
      </c>
      <c r="AC253" s="42"/>
      <c r="AD253" s="42"/>
      <c r="AE253" s="42"/>
      <c r="AF253" s="12">
        <f t="shared" si="6"/>
        <v>72</v>
      </c>
      <c r="AG253" s="7">
        <v>80</v>
      </c>
      <c r="AH253" s="7"/>
      <c r="AI253" s="7">
        <v>40</v>
      </c>
      <c r="AJ253" s="7"/>
      <c r="AK253" s="7">
        <v>100</v>
      </c>
      <c r="AL253" s="7" t="s">
        <v>1342</v>
      </c>
      <c r="AM253" s="7">
        <v>80</v>
      </c>
      <c r="AN253" s="7"/>
      <c r="AO253" s="63">
        <v>5.8</v>
      </c>
      <c r="AP253" s="58">
        <v>0</v>
      </c>
      <c r="AQ253" s="58">
        <v>0</v>
      </c>
      <c r="AR253" s="58">
        <v>0</v>
      </c>
      <c r="AS253" s="30">
        <v>0</v>
      </c>
      <c r="AT253" s="30">
        <v>0</v>
      </c>
      <c r="AU253" s="30">
        <v>0</v>
      </c>
      <c r="AV253" s="197">
        <v>0</v>
      </c>
      <c r="AW253" s="197">
        <v>0</v>
      </c>
      <c r="AX253" s="197">
        <v>0</v>
      </c>
      <c r="AY253" s="203"/>
      <c r="AZ253" s="203"/>
      <c r="BA253" s="203">
        <v>0</v>
      </c>
      <c r="BB253" s="41" t="s">
        <v>1082</v>
      </c>
      <c r="BC253" s="191"/>
      <c r="BD253" s="189">
        <v>0</v>
      </c>
      <c r="BE253" s="30" t="s">
        <v>1083</v>
      </c>
      <c r="BF253" s="186"/>
      <c r="BG253" s="183"/>
      <c r="BH253" s="183"/>
    </row>
    <row r="254" spans="1:60" ht="30" customHeight="1">
      <c r="A254" s="41" t="s">
        <v>122</v>
      </c>
      <c r="B254" s="116" t="s">
        <v>1343</v>
      </c>
      <c r="C254" s="116" t="s">
        <v>1344</v>
      </c>
      <c r="D254" s="116"/>
      <c r="E254" s="117" t="s">
        <v>195</v>
      </c>
      <c r="F254" s="117" t="s">
        <v>166</v>
      </c>
      <c r="G254" s="116"/>
      <c r="H254" s="119"/>
      <c r="I254" s="118"/>
      <c r="J254" s="5" t="s">
        <v>110</v>
      </c>
      <c r="K254" s="41">
        <v>1</v>
      </c>
      <c r="L254" s="41" t="s">
        <v>110</v>
      </c>
      <c r="M254" s="41">
        <v>1</v>
      </c>
      <c r="N254" s="39"/>
      <c r="O254" s="39"/>
      <c r="P254" s="5" t="s">
        <v>111</v>
      </c>
      <c r="Q254" s="41"/>
      <c r="R254" s="5" t="s">
        <v>112</v>
      </c>
      <c r="S254" s="41">
        <v>5</v>
      </c>
      <c r="T254" s="41" t="s">
        <v>218</v>
      </c>
      <c r="U254" s="41"/>
      <c r="V254" s="5"/>
      <c r="W254" s="174">
        <v>45992</v>
      </c>
      <c r="X254" s="174">
        <v>45992</v>
      </c>
      <c r="Y254" s="41"/>
      <c r="Z254" s="42" t="s">
        <v>817</v>
      </c>
      <c r="AA254" s="37"/>
      <c r="AB254" s="42" t="s">
        <v>118</v>
      </c>
      <c r="AC254" s="42"/>
      <c r="AD254" s="51"/>
      <c r="AE254" s="51"/>
      <c r="AF254" s="12">
        <f t="shared" si="6"/>
        <v>72</v>
      </c>
      <c r="AG254" s="7">
        <v>60</v>
      </c>
      <c r="AH254" s="7"/>
      <c r="AI254" s="7">
        <v>80</v>
      </c>
      <c r="AJ254" s="7"/>
      <c r="AK254" s="7">
        <v>80</v>
      </c>
      <c r="AL254" s="7"/>
      <c r="AM254" s="7">
        <v>80</v>
      </c>
      <c r="AN254" s="7"/>
      <c r="AO254" s="63">
        <v>5.8</v>
      </c>
      <c r="AP254" s="58">
        <v>1600</v>
      </c>
      <c r="AQ254" s="58">
        <v>330</v>
      </c>
      <c r="AR254" s="58">
        <v>330</v>
      </c>
      <c r="AS254" s="30">
        <v>15312</v>
      </c>
      <c r="AT254" s="30">
        <v>9280</v>
      </c>
      <c r="AU254" s="30">
        <v>24592</v>
      </c>
      <c r="AV254" s="197">
        <v>15312</v>
      </c>
      <c r="AW254" s="197">
        <v>9280</v>
      </c>
      <c r="AX254" s="197">
        <v>24592</v>
      </c>
      <c r="AY254" s="203"/>
      <c r="AZ254" s="203"/>
      <c r="BA254" s="203">
        <v>0</v>
      </c>
      <c r="BB254" s="41"/>
      <c r="BC254" s="191"/>
      <c r="BD254" s="190">
        <v>3</v>
      </c>
      <c r="BE254" s="30"/>
      <c r="BF254" s="186"/>
      <c r="BG254" s="183"/>
      <c r="BH254" s="183"/>
    </row>
    <row r="255" spans="1:60" ht="30" hidden="1" customHeight="1">
      <c r="A255" s="41" t="s">
        <v>122</v>
      </c>
      <c r="B255" s="116" t="s">
        <v>1345</v>
      </c>
      <c r="C255" s="116" t="s">
        <v>1346</v>
      </c>
      <c r="D255" s="116"/>
      <c r="E255" s="117" t="s">
        <v>126</v>
      </c>
      <c r="F255" s="117" t="s">
        <v>152</v>
      </c>
      <c r="G255" s="116" t="s">
        <v>561</v>
      </c>
      <c r="H255" s="119"/>
      <c r="I255" s="118"/>
      <c r="J255" s="41" t="s">
        <v>110</v>
      </c>
      <c r="K255" s="41">
        <v>2</v>
      </c>
      <c r="L255" s="41" t="s">
        <v>110</v>
      </c>
      <c r="M255" s="41">
        <v>1</v>
      </c>
      <c r="N255" s="39"/>
      <c r="O255" s="39"/>
      <c r="P255" s="5" t="s">
        <v>111</v>
      </c>
      <c r="Q255" s="41"/>
      <c r="R255" s="5" t="s">
        <v>112</v>
      </c>
      <c r="S255" s="41">
        <v>5</v>
      </c>
      <c r="T255" s="41" t="s">
        <v>801</v>
      </c>
      <c r="U255" s="41"/>
      <c r="V255" s="5"/>
      <c r="W255" s="174">
        <v>45992</v>
      </c>
      <c r="X255" s="174">
        <v>45992</v>
      </c>
      <c r="Y255" s="41"/>
      <c r="Z255" s="42" t="s">
        <v>524</v>
      </c>
      <c r="AA255" s="42" t="s">
        <v>1347</v>
      </c>
      <c r="AB255" s="42" t="s">
        <v>345</v>
      </c>
      <c r="AC255" s="42" t="s">
        <v>370</v>
      </c>
      <c r="AD255" s="42"/>
      <c r="AE255" s="42"/>
      <c r="AF255" s="12">
        <f t="shared" si="6"/>
        <v>72</v>
      </c>
      <c r="AG255" s="7">
        <v>60</v>
      </c>
      <c r="AH255" s="7"/>
      <c r="AI255" s="7">
        <v>100</v>
      </c>
      <c r="AJ255" s="7"/>
      <c r="AK255" s="7">
        <v>60</v>
      </c>
      <c r="AL255" s="7" t="s">
        <v>561</v>
      </c>
      <c r="AM255" s="7">
        <v>60</v>
      </c>
      <c r="AN255" s="7"/>
      <c r="AO255" s="63">
        <v>5.8</v>
      </c>
      <c r="AP255" s="58">
        <v>1600</v>
      </c>
      <c r="AQ255" s="58">
        <v>390</v>
      </c>
      <c r="AR255" s="58">
        <v>390</v>
      </c>
      <c r="AS255" s="30">
        <v>36192</v>
      </c>
      <c r="AT255" s="30">
        <v>18560</v>
      </c>
      <c r="AU255" s="30">
        <v>54752</v>
      </c>
      <c r="AV255" s="197">
        <v>18096</v>
      </c>
      <c r="AW255" s="197">
        <v>9280</v>
      </c>
      <c r="AX255" s="197">
        <v>27376</v>
      </c>
      <c r="AY255" s="203"/>
      <c r="AZ255" s="203"/>
      <c r="BA255" s="203">
        <v>0</v>
      </c>
      <c r="BB255" s="41" t="s">
        <v>1348</v>
      </c>
      <c r="BC255" s="191"/>
      <c r="BD255" s="189">
        <v>3</v>
      </c>
      <c r="BE255" s="30"/>
      <c r="BF255" s="186"/>
      <c r="BG255" s="183"/>
      <c r="BH255" s="183"/>
    </row>
    <row r="256" spans="1:60" ht="30" hidden="1" customHeight="1">
      <c r="A256" s="41" t="s">
        <v>122</v>
      </c>
      <c r="B256" s="116" t="s">
        <v>1349</v>
      </c>
      <c r="C256" s="116" t="s">
        <v>1350</v>
      </c>
      <c r="D256" s="116"/>
      <c r="E256" s="117" t="s">
        <v>107</v>
      </c>
      <c r="F256" s="117" t="s">
        <v>340</v>
      </c>
      <c r="G256" s="116" t="s">
        <v>1351</v>
      </c>
      <c r="H256" s="119"/>
      <c r="I256" s="118"/>
      <c r="J256" s="5" t="s">
        <v>110</v>
      </c>
      <c r="K256" s="41">
        <v>1</v>
      </c>
      <c r="L256" s="5" t="s">
        <v>110</v>
      </c>
      <c r="M256" s="41">
        <v>1</v>
      </c>
      <c r="N256" s="39" t="s">
        <v>115</v>
      </c>
      <c r="O256" s="39">
        <v>1</v>
      </c>
      <c r="P256" s="5" t="s">
        <v>111</v>
      </c>
      <c r="Q256" s="41"/>
      <c r="R256" s="5" t="s">
        <v>112</v>
      </c>
      <c r="S256" s="41">
        <v>5</v>
      </c>
      <c r="T256" s="5" t="s">
        <v>218</v>
      </c>
      <c r="U256" s="41" t="s">
        <v>219</v>
      </c>
      <c r="V256" s="5"/>
      <c r="W256" s="174">
        <v>45992</v>
      </c>
      <c r="X256" s="174">
        <v>45992</v>
      </c>
      <c r="Y256" s="41"/>
      <c r="Z256" s="42" t="s">
        <v>116</v>
      </c>
      <c r="AA256" s="37" t="s">
        <v>699</v>
      </c>
      <c r="AB256" s="42" t="s">
        <v>118</v>
      </c>
      <c r="AC256" s="42" t="s">
        <v>700</v>
      </c>
      <c r="AD256" s="51"/>
      <c r="AE256" s="51"/>
      <c r="AF256" s="12">
        <f t="shared" si="6"/>
        <v>72</v>
      </c>
      <c r="AG256" s="7">
        <v>80</v>
      </c>
      <c r="AH256" s="7"/>
      <c r="AI256" s="7">
        <v>80</v>
      </c>
      <c r="AJ256" s="7"/>
      <c r="AK256" s="7">
        <v>40</v>
      </c>
      <c r="AL256" s="7"/>
      <c r="AM256" s="7">
        <v>80</v>
      </c>
      <c r="AN256" s="7"/>
      <c r="AO256" s="63">
        <v>5.8</v>
      </c>
      <c r="AP256" s="58">
        <v>1600</v>
      </c>
      <c r="AQ256" s="58">
        <v>310</v>
      </c>
      <c r="AR256" s="58">
        <v>310</v>
      </c>
      <c r="AS256" s="30">
        <v>14384</v>
      </c>
      <c r="AT256" s="30">
        <v>9280</v>
      </c>
      <c r="AU256" s="30">
        <v>23664</v>
      </c>
      <c r="AV256" s="197">
        <v>14384</v>
      </c>
      <c r="AW256" s="197">
        <v>9280</v>
      </c>
      <c r="AX256" s="197">
        <v>23664</v>
      </c>
      <c r="AY256" s="203"/>
      <c r="AZ256" s="203"/>
      <c r="BA256" s="203">
        <v>0</v>
      </c>
      <c r="BB256" s="41" t="s">
        <v>701</v>
      </c>
      <c r="BC256" s="191"/>
      <c r="BD256" s="190">
        <v>3</v>
      </c>
      <c r="BE256" s="30"/>
      <c r="BF256" s="186"/>
      <c r="BG256" s="183"/>
      <c r="BH256" s="183"/>
    </row>
    <row r="257" spans="1:60" ht="30" hidden="1" customHeight="1">
      <c r="A257" s="41" t="s">
        <v>183</v>
      </c>
      <c r="B257" s="116" t="s">
        <v>1352</v>
      </c>
      <c r="C257" s="116" t="s">
        <v>1353</v>
      </c>
      <c r="D257" s="116"/>
      <c r="E257" s="117" t="s">
        <v>107</v>
      </c>
      <c r="F257" s="117" t="s">
        <v>108</v>
      </c>
      <c r="G257" s="116"/>
      <c r="H257" s="119"/>
      <c r="I257" s="118"/>
      <c r="J257" s="41" t="s">
        <v>110</v>
      </c>
      <c r="K257" s="41">
        <v>1</v>
      </c>
      <c r="L257" s="5" t="s">
        <v>110</v>
      </c>
      <c r="M257" s="41">
        <v>1</v>
      </c>
      <c r="N257" s="39"/>
      <c r="O257" s="39"/>
      <c r="P257" s="5" t="s">
        <v>111</v>
      </c>
      <c r="Q257" s="41"/>
      <c r="R257" s="5" t="s">
        <v>112</v>
      </c>
      <c r="S257" s="41">
        <v>3</v>
      </c>
      <c r="T257" s="41" t="s">
        <v>232</v>
      </c>
      <c r="U257" s="41"/>
      <c r="V257" s="5"/>
      <c r="W257" s="174">
        <v>45992</v>
      </c>
      <c r="X257" s="174">
        <v>45992</v>
      </c>
      <c r="Y257" s="41"/>
      <c r="Z257" s="42" t="s">
        <v>141</v>
      </c>
      <c r="AA257" s="42" t="s">
        <v>188</v>
      </c>
      <c r="AB257" s="42" t="s">
        <v>118</v>
      </c>
      <c r="AC257" s="42" t="s">
        <v>119</v>
      </c>
      <c r="AD257" s="42"/>
      <c r="AE257" s="42"/>
      <c r="AF257" s="12">
        <f t="shared" si="6"/>
        <v>72</v>
      </c>
      <c r="AG257" s="7">
        <v>80</v>
      </c>
      <c r="AH257" s="7"/>
      <c r="AI257" s="7">
        <v>80</v>
      </c>
      <c r="AJ257" s="7" t="s">
        <v>189</v>
      </c>
      <c r="AK257" s="7">
        <v>40</v>
      </c>
      <c r="AL257" s="7"/>
      <c r="AM257" s="7">
        <v>80</v>
      </c>
      <c r="AN257" s="7"/>
      <c r="AO257" s="63">
        <v>5.8</v>
      </c>
      <c r="AP257" s="58">
        <v>1600</v>
      </c>
      <c r="AQ257" s="58">
        <v>420</v>
      </c>
      <c r="AR257" s="58">
        <v>420</v>
      </c>
      <c r="AS257" s="30">
        <v>14616</v>
      </c>
      <c r="AT257" s="30">
        <v>9280</v>
      </c>
      <c r="AU257" s="30">
        <v>23896</v>
      </c>
      <c r="AV257" s="197">
        <v>14616</v>
      </c>
      <c r="AW257" s="197">
        <v>9280</v>
      </c>
      <c r="AX257" s="197">
        <v>23896</v>
      </c>
      <c r="AY257" s="203"/>
      <c r="AZ257" s="203"/>
      <c r="BA257" s="203">
        <v>0</v>
      </c>
      <c r="BB257" s="41" t="s">
        <v>190</v>
      </c>
      <c r="BC257" s="191"/>
      <c r="BD257" s="190">
        <v>3</v>
      </c>
      <c r="BE257" s="30" t="s">
        <v>803</v>
      </c>
      <c r="BF257" s="186"/>
      <c r="BG257" s="183"/>
      <c r="BH257" s="183"/>
    </row>
    <row r="258" spans="1:60" ht="30" hidden="1" customHeight="1">
      <c r="A258" s="41" t="s">
        <v>421</v>
      </c>
      <c r="B258" s="116" t="s">
        <v>1354</v>
      </c>
      <c r="C258" s="116" t="s">
        <v>1355</v>
      </c>
      <c r="D258" s="116"/>
      <c r="E258" s="117" t="s">
        <v>107</v>
      </c>
      <c r="F258" s="117" t="s">
        <v>108</v>
      </c>
      <c r="G258" s="116" t="s">
        <v>186</v>
      </c>
      <c r="H258" s="119"/>
      <c r="I258" s="118"/>
      <c r="J258" s="41" t="s">
        <v>110</v>
      </c>
      <c r="K258" s="41">
        <v>1</v>
      </c>
      <c r="L258" s="41" t="s">
        <v>110</v>
      </c>
      <c r="M258" s="41">
        <v>1</v>
      </c>
      <c r="N258" s="39"/>
      <c r="O258" s="39"/>
      <c r="P258" s="5" t="s">
        <v>111</v>
      </c>
      <c r="Q258" s="41"/>
      <c r="R258" s="5" t="s">
        <v>112</v>
      </c>
      <c r="S258" s="41">
        <v>3</v>
      </c>
      <c r="T258" s="41" t="s">
        <v>139</v>
      </c>
      <c r="U258" s="41" t="s">
        <v>1356</v>
      </c>
      <c r="V258" s="5"/>
      <c r="W258" s="174">
        <v>45992</v>
      </c>
      <c r="X258" s="174">
        <v>45992</v>
      </c>
      <c r="Y258" s="41"/>
      <c r="Z258" s="42" t="s">
        <v>141</v>
      </c>
      <c r="AA258" s="37" t="s">
        <v>1357</v>
      </c>
      <c r="AB258" s="42" t="s">
        <v>1358</v>
      </c>
      <c r="AC258" s="42" t="s">
        <v>427</v>
      </c>
      <c r="AD258" s="51"/>
      <c r="AE258" s="51"/>
      <c r="AF258" s="12">
        <f t="shared" si="6"/>
        <v>72</v>
      </c>
      <c r="AG258" s="7">
        <v>80</v>
      </c>
      <c r="AH258" s="7"/>
      <c r="AI258" s="7">
        <v>40</v>
      </c>
      <c r="AJ258" s="7"/>
      <c r="AK258" s="7">
        <v>100</v>
      </c>
      <c r="AL258" s="7" t="s">
        <v>1359</v>
      </c>
      <c r="AM258" s="7">
        <v>80</v>
      </c>
      <c r="AN258" s="7" t="s">
        <v>1360</v>
      </c>
      <c r="AO258" s="63">
        <v>5.8</v>
      </c>
      <c r="AP258" s="58">
        <v>1600</v>
      </c>
      <c r="AQ258" s="58">
        <v>390</v>
      </c>
      <c r="AR258" s="58">
        <v>390</v>
      </c>
      <c r="AS258" s="30">
        <v>13572</v>
      </c>
      <c r="AT258" s="30">
        <v>9280</v>
      </c>
      <c r="AU258" s="30">
        <v>22852</v>
      </c>
      <c r="AV258" s="197">
        <v>13572</v>
      </c>
      <c r="AW258" s="197">
        <v>9280</v>
      </c>
      <c r="AX258" s="197">
        <v>22852</v>
      </c>
      <c r="AY258" s="203"/>
      <c r="AZ258" s="203"/>
      <c r="BA258" s="203">
        <v>0</v>
      </c>
      <c r="BB258" s="41" t="s">
        <v>1361</v>
      </c>
      <c r="BC258" s="191"/>
      <c r="BD258" s="190">
        <v>3</v>
      </c>
      <c r="BE258" s="30"/>
      <c r="BF258" s="186"/>
      <c r="BG258" s="183"/>
      <c r="BH258" s="183"/>
    </row>
    <row r="259" spans="1:60" ht="30" hidden="1" customHeight="1">
      <c r="A259" s="41" t="s">
        <v>192</v>
      </c>
      <c r="B259" s="116" t="s">
        <v>1194</v>
      </c>
      <c r="C259" s="116" t="s">
        <v>1195</v>
      </c>
      <c r="D259" s="116"/>
      <c r="E259" s="117" t="s">
        <v>201</v>
      </c>
      <c r="F259" s="117" t="s">
        <v>166</v>
      </c>
      <c r="G259" s="116" t="s">
        <v>1362</v>
      </c>
      <c r="H259" s="119"/>
      <c r="I259" s="118"/>
      <c r="J259" s="41" t="s">
        <v>110</v>
      </c>
      <c r="K259" s="41">
        <v>1</v>
      </c>
      <c r="L259" s="41" t="s">
        <v>110</v>
      </c>
      <c r="M259" s="41">
        <v>1</v>
      </c>
      <c r="N259" s="39"/>
      <c r="O259" s="39"/>
      <c r="P259" s="5" t="s">
        <v>111</v>
      </c>
      <c r="Q259" s="41"/>
      <c r="R259" s="5" t="s">
        <v>112</v>
      </c>
      <c r="S259" s="41">
        <v>3</v>
      </c>
      <c r="T259" s="41" t="s">
        <v>1197</v>
      </c>
      <c r="U259" s="41"/>
      <c r="V259" s="5"/>
      <c r="W259" s="174">
        <v>45992</v>
      </c>
      <c r="X259" s="174">
        <v>45992</v>
      </c>
      <c r="Y259" s="41"/>
      <c r="Z259" s="42" t="s">
        <v>817</v>
      </c>
      <c r="AA259" s="37" t="s">
        <v>1198</v>
      </c>
      <c r="AB259" s="42" t="s">
        <v>118</v>
      </c>
      <c r="AC259" s="42"/>
      <c r="AD259" s="51"/>
      <c r="AE259" s="51"/>
      <c r="AF259" s="12">
        <f t="shared" si="6"/>
        <v>72</v>
      </c>
      <c r="AG259" s="7">
        <v>60</v>
      </c>
      <c r="AH259" s="7"/>
      <c r="AI259" s="7">
        <v>60</v>
      </c>
      <c r="AJ259" s="7"/>
      <c r="AK259" s="7">
        <v>100</v>
      </c>
      <c r="AL259" s="7"/>
      <c r="AM259" s="7">
        <v>100</v>
      </c>
      <c r="AN259" s="7"/>
      <c r="AO259" s="63">
        <v>5.8</v>
      </c>
      <c r="AP259" s="58">
        <v>1600</v>
      </c>
      <c r="AQ259" s="58">
        <v>350</v>
      </c>
      <c r="AR259" s="58">
        <v>350</v>
      </c>
      <c r="AS259" s="30">
        <v>12180</v>
      </c>
      <c r="AT259" s="30">
        <v>9280</v>
      </c>
      <c r="AU259" s="30">
        <v>21460</v>
      </c>
      <c r="AV259" s="197">
        <v>12180</v>
      </c>
      <c r="AW259" s="197">
        <v>9280</v>
      </c>
      <c r="AX259" s="197">
        <v>21460</v>
      </c>
      <c r="AY259" s="203"/>
      <c r="AZ259" s="203"/>
      <c r="BA259" s="203">
        <v>0</v>
      </c>
      <c r="BB259" s="41"/>
      <c r="BC259" s="191"/>
      <c r="BD259" s="190">
        <v>3</v>
      </c>
      <c r="BE259" s="30"/>
      <c r="BF259" s="186"/>
      <c r="BG259" s="183"/>
      <c r="BH259" s="183"/>
    </row>
    <row r="260" spans="1:60" ht="30" hidden="1" customHeight="1">
      <c r="A260" s="41" t="s">
        <v>122</v>
      </c>
      <c r="B260" s="116" t="s">
        <v>1363</v>
      </c>
      <c r="C260" s="116" t="s">
        <v>1364</v>
      </c>
      <c r="D260" s="116" t="s">
        <v>1365</v>
      </c>
      <c r="E260" s="117" t="s">
        <v>216</v>
      </c>
      <c r="F260" s="117" t="s">
        <v>217</v>
      </c>
      <c r="G260" s="116" t="s">
        <v>1366</v>
      </c>
      <c r="H260" s="119"/>
      <c r="I260" s="118"/>
      <c r="J260" s="41" t="s">
        <v>110</v>
      </c>
      <c r="K260" s="41">
        <v>1</v>
      </c>
      <c r="L260" s="41" t="s">
        <v>110</v>
      </c>
      <c r="M260" s="41">
        <v>1</v>
      </c>
      <c r="N260" s="39" t="s">
        <v>115</v>
      </c>
      <c r="O260" s="39">
        <v>1</v>
      </c>
      <c r="P260" s="5" t="s">
        <v>111</v>
      </c>
      <c r="Q260" s="41"/>
      <c r="R260" s="5" t="s">
        <v>112</v>
      </c>
      <c r="S260" s="41">
        <v>5</v>
      </c>
      <c r="T260" s="41" t="s">
        <v>368</v>
      </c>
      <c r="U260" s="41"/>
      <c r="V260" s="5"/>
      <c r="W260" s="174">
        <v>45992</v>
      </c>
      <c r="X260" s="174">
        <v>45992</v>
      </c>
      <c r="Y260" s="41"/>
      <c r="Z260" s="42" t="s">
        <v>220</v>
      </c>
      <c r="AA260" s="42" t="s">
        <v>221</v>
      </c>
      <c r="AB260" s="42" t="s">
        <v>118</v>
      </c>
      <c r="AC260" s="42" t="s">
        <v>222</v>
      </c>
      <c r="AD260" s="42"/>
      <c r="AE260" s="42"/>
      <c r="AF260" s="12">
        <f t="shared" si="6"/>
        <v>72</v>
      </c>
      <c r="AG260" s="7">
        <v>80</v>
      </c>
      <c r="AH260" s="7"/>
      <c r="AI260" s="7">
        <v>80</v>
      </c>
      <c r="AJ260" s="7" t="s">
        <v>223</v>
      </c>
      <c r="AK260" s="7">
        <v>40</v>
      </c>
      <c r="AL260" s="7"/>
      <c r="AM260" s="7">
        <v>80</v>
      </c>
      <c r="AN260" s="7"/>
      <c r="AO260" s="63">
        <v>5.8</v>
      </c>
      <c r="AP260" s="58">
        <v>1600</v>
      </c>
      <c r="AQ260" s="58"/>
      <c r="AR260" s="58"/>
      <c r="AS260" s="30">
        <v>3600</v>
      </c>
      <c r="AT260" s="30">
        <v>9280</v>
      </c>
      <c r="AU260" s="30">
        <v>12880</v>
      </c>
      <c r="AV260" s="197">
        <v>3600</v>
      </c>
      <c r="AW260" s="197">
        <v>9280</v>
      </c>
      <c r="AX260" s="197">
        <v>12880</v>
      </c>
      <c r="AY260" s="203"/>
      <c r="AZ260" s="203"/>
      <c r="BA260" s="203">
        <v>0</v>
      </c>
      <c r="BB260" s="41" t="s">
        <v>1367</v>
      </c>
      <c r="BC260" s="191"/>
      <c r="BD260" s="190">
        <v>3</v>
      </c>
      <c r="BE260" s="30" t="s">
        <v>226</v>
      </c>
      <c r="BF260" s="186"/>
      <c r="BG260" s="183"/>
      <c r="BH260" s="183"/>
    </row>
    <row r="261" spans="1:60" ht="30" hidden="1" customHeight="1">
      <c r="A261" s="41" t="s">
        <v>192</v>
      </c>
      <c r="B261" s="116" t="s">
        <v>1194</v>
      </c>
      <c r="C261" s="116" t="s">
        <v>1195</v>
      </c>
      <c r="D261" s="116"/>
      <c r="E261" s="117" t="s">
        <v>201</v>
      </c>
      <c r="F261" s="117" t="s">
        <v>166</v>
      </c>
      <c r="G261" s="116" t="s">
        <v>1362</v>
      </c>
      <c r="H261" s="119"/>
      <c r="I261" s="118"/>
      <c r="J261" s="41" t="s">
        <v>110</v>
      </c>
      <c r="K261" s="41">
        <v>1</v>
      </c>
      <c r="L261" s="41" t="s">
        <v>110</v>
      </c>
      <c r="M261" s="41">
        <v>1</v>
      </c>
      <c r="N261" s="39"/>
      <c r="O261" s="39"/>
      <c r="P261" s="5" t="s">
        <v>111</v>
      </c>
      <c r="Q261" s="41"/>
      <c r="R261" s="5" t="s">
        <v>112</v>
      </c>
      <c r="S261" s="41">
        <v>3</v>
      </c>
      <c r="T261" s="41" t="s">
        <v>1197</v>
      </c>
      <c r="U261" s="41"/>
      <c r="V261" s="5"/>
      <c r="W261" s="174">
        <v>45992</v>
      </c>
      <c r="X261" s="174">
        <v>45992</v>
      </c>
      <c r="Y261" s="41"/>
      <c r="Z261" s="42" t="s">
        <v>817</v>
      </c>
      <c r="AA261" s="37" t="s">
        <v>1198</v>
      </c>
      <c r="AB261" s="42" t="s">
        <v>118</v>
      </c>
      <c r="AC261" s="42"/>
      <c r="AD261" s="51"/>
      <c r="AE261" s="51"/>
      <c r="AF261" s="12">
        <f t="shared" ref="AF261:AF292" si="7">AG261*$AG$2+AI261*$AI$2+AK261*$AK$2+AM261*$AM$2</f>
        <v>72</v>
      </c>
      <c r="AG261" s="7">
        <v>60</v>
      </c>
      <c r="AH261" s="7"/>
      <c r="AI261" s="7">
        <v>60</v>
      </c>
      <c r="AJ261" s="7"/>
      <c r="AK261" s="7">
        <v>100</v>
      </c>
      <c r="AL261" s="7"/>
      <c r="AM261" s="7">
        <v>100</v>
      </c>
      <c r="AN261" s="7"/>
      <c r="AO261" s="63">
        <v>5.8</v>
      </c>
      <c r="AP261" s="58">
        <v>1600</v>
      </c>
      <c r="AQ261" s="58">
        <v>350</v>
      </c>
      <c r="AR261" s="58">
        <v>350</v>
      </c>
      <c r="AS261" s="30">
        <v>12180</v>
      </c>
      <c r="AT261" s="30">
        <v>9280</v>
      </c>
      <c r="AU261" s="30">
        <v>21460</v>
      </c>
      <c r="AV261" s="197">
        <v>12180</v>
      </c>
      <c r="AW261" s="197">
        <v>9280</v>
      </c>
      <c r="AX261" s="197">
        <v>21460</v>
      </c>
      <c r="AY261" s="203"/>
      <c r="AZ261" s="203"/>
      <c r="BA261" s="203">
        <v>0</v>
      </c>
      <c r="BB261" s="41"/>
      <c r="BC261" s="41"/>
      <c r="BD261" s="192">
        <v>3</v>
      </c>
      <c r="BE261" s="30"/>
      <c r="BF261" s="186"/>
      <c r="BG261" s="183"/>
      <c r="BH261" s="183"/>
    </row>
    <row r="262" spans="1:60" ht="30" hidden="1" customHeight="1">
      <c r="A262" s="41" t="s">
        <v>239</v>
      </c>
      <c r="B262" s="116" t="s">
        <v>1368</v>
      </c>
      <c r="C262" s="116" t="s">
        <v>649</v>
      </c>
      <c r="D262" s="116"/>
      <c r="E262" s="117" t="s">
        <v>176</v>
      </c>
      <c r="F262" s="117" t="s">
        <v>651</v>
      </c>
      <c r="G262" s="116" t="s">
        <v>1369</v>
      </c>
      <c r="H262" s="119"/>
      <c r="I262" s="118"/>
      <c r="J262" s="41" t="s">
        <v>110</v>
      </c>
      <c r="K262" s="41">
        <v>2</v>
      </c>
      <c r="L262" s="41" t="s">
        <v>110</v>
      </c>
      <c r="M262" s="41">
        <v>1</v>
      </c>
      <c r="N262" s="39"/>
      <c r="O262" s="39"/>
      <c r="P262" s="5" t="s">
        <v>111</v>
      </c>
      <c r="Q262" s="41"/>
      <c r="R262" s="5" t="s">
        <v>112</v>
      </c>
      <c r="S262" s="41">
        <v>3</v>
      </c>
      <c r="T262" s="41" t="s">
        <v>139</v>
      </c>
      <c r="U262" s="41"/>
      <c r="V262" s="5"/>
      <c r="W262" s="174">
        <v>45992</v>
      </c>
      <c r="X262" s="174">
        <v>45992</v>
      </c>
      <c r="Y262" s="41"/>
      <c r="Z262" s="42" t="s">
        <v>141</v>
      </c>
      <c r="AA262" s="42" t="s">
        <v>1370</v>
      </c>
      <c r="AB262" s="42" t="s">
        <v>118</v>
      </c>
      <c r="AC262" s="42" t="s">
        <v>654</v>
      </c>
      <c r="AD262" s="42"/>
      <c r="AE262" s="42"/>
      <c r="AF262" s="12">
        <f t="shared" si="7"/>
        <v>72</v>
      </c>
      <c r="AG262" s="7">
        <v>80</v>
      </c>
      <c r="AH262" s="7" t="s">
        <v>655</v>
      </c>
      <c r="AI262" s="7">
        <v>80</v>
      </c>
      <c r="AJ262" s="7" t="s">
        <v>656</v>
      </c>
      <c r="AK262" s="7">
        <v>40</v>
      </c>
      <c r="AL262" s="7" t="s">
        <v>657</v>
      </c>
      <c r="AM262" s="7">
        <v>80</v>
      </c>
      <c r="AN262" s="7" t="s">
        <v>658</v>
      </c>
      <c r="AO262" s="63">
        <v>5.8</v>
      </c>
      <c r="AP262" s="58">
        <v>1600</v>
      </c>
      <c r="AQ262" s="58">
        <f>AVERAGE(420,390)</f>
        <v>405</v>
      </c>
      <c r="AR262" s="58">
        <v>420</v>
      </c>
      <c r="AS262" s="30">
        <v>28188</v>
      </c>
      <c r="AT262" s="30">
        <v>18560</v>
      </c>
      <c r="AU262" s="30">
        <v>46748</v>
      </c>
      <c r="AV262" s="197">
        <v>14616</v>
      </c>
      <c r="AW262" s="197">
        <v>9280</v>
      </c>
      <c r="AX262" s="197">
        <v>23896</v>
      </c>
      <c r="AY262" s="203"/>
      <c r="AZ262" s="203"/>
      <c r="BA262" s="203">
        <v>0</v>
      </c>
      <c r="BB262" s="41" t="s">
        <v>1371</v>
      </c>
      <c r="BC262" s="191"/>
      <c r="BD262" s="189">
        <v>3</v>
      </c>
      <c r="BE262" s="30" t="s">
        <v>661</v>
      </c>
      <c r="BF262" s="186"/>
      <c r="BG262" s="183"/>
      <c r="BH262" s="183"/>
    </row>
    <row r="263" spans="1:60" ht="30" hidden="1" customHeight="1">
      <c r="A263" s="41" t="s">
        <v>239</v>
      </c>
      <c r="B263" s="116" t="s">
        <v>1372</v>
      </c>
      <c r="C263" s="116" t="s">
        <v>649</v>
      </c>
      <c r="D263" s="116"/>
      <c r="E263" s="117" t="s">
        <v>176</v>
      </c>
      <c r="F263" s="117" t="s">
        <v>651</v>
      </c>
      <c r="G263" s="116" t="s">
        <v>1369</v>
      </c>
      <c r="H263" s="119"/>
      <c r="I263" s="118"/>
      <c r="J263" s="41" t="s">
        <v>110</v>
      </c>
      <c r="K263" s="41">
        <v>2</v>
      </c>
      <c r="L263" s="41" t="s">
        <v>110</v>
      </c>
      <c r="M263" s="41">
        <v>1</v>
      </c>
      <c r="N263" s="39"/>
      <c r="O263" s="39"/>
      <c r="P263" s="5" t="s">
        <v>111</v>
      </c>
      <c r="Q263" s="41"/>
      <c r="R263" s="5" t="s">
        <v>112</v>
      </c>
      <c r="S263" s="41">
        <v>3</v>
      </c>
      <c r="T263" s="41" t="s">
        <v>139</v>
      </c>
      <c r="U263" s="41"/>
      <c r="V263" s="41"/>
      <c r="W263" s="174">
        <v>45992</v>
      </c>
      <c r="X263" s="174">
        <v>45992</v>
      </c>
      <c r="Y263" s="41"/>
      <c r="Z263" s="42" t="s">
        <v>141</v>
      </c>
      <c r="AA263" s="42" t="s">
        <v>1370</v>
      </c>
      <c r="AB263" s="42" t="s">
        <v>118</v>
      </c>
      <c r="AC263" s="42" t="s">
        <v>654</v>
      </c>
      <c r="AD263" s="42"/>
      <c r="AE263" s="42"/>
      <c r="AF263" s="12">
        <f t="shared" si="7"/>
        <v>72</v>
      </c>
      <c r="AG263" s="7">
        <v>80</v>
      </c>
      <c r="AH263" s="7" t="s">
        <v>655</v>
      </c>
      <c r="AI263" s="7">
        <v>80</v>
      </c>
      <c r="AJ263" s="7" t="s">
        <v>656</v>
      </c>
      <c r="AK263" s="7">
        <v>40</v>
      </c>
      <c r="AL263" s="7" t="s">
        <v>657</v>
      </c>
      <c r="AM263" s="7">
        <v>80</v>
      </c>
      <c r="AN263" s="7" t="s">
        <v>658</v>
      </c>
      <c r="AO263" s="63">
        <v>5.8</v>
      </c>
      <c r="AP263" s="58">
        <v>1600</v>
      </c>
      <c r="AQ263" s="58">
        <f>AVERAGE(420,390)</f>
        <v>405</v>
      </c>
      <c r="AR263" s="58">
        <v>420</v>
      </c>
      <c r="AS263" s="30">
        <v>28188</v>
      </c>
      <c r="AT263" s="30">
        <v>18560</v>
      </c>
      <c r="AU263" s="30">
        <v>46748</v>
      </c>
      <c r="AV263" s="197">
        <v>14616</v>
      </c>
      <c r="AW263" s="197">
        <v>9280</v>
      </c>
      <c r="AX263" s="197">
        <v>23896</v>
      </c>
      <c r="AY263" s="203"/>
      <c r="AZ263" s="203"/>
      <c r="BA263" s="203">
        <v>0</v>
      </c>
      <c r="BB263" s="41" t="s">
        <v>1371</v>
      </c>
      <c r="BC263" s="191"/>
      <c r="BD263" s="189">
        <v>3</v>
      </c>
      <c r="BE263" s="30" t="s">
        <v>661</v>
      </c>
      <c r="BF263" s="186"/>
      <c r="BG263" s="183"/>
      <c r="BH263" s="183"/>
    </row>
    <row r="264" spans="1:60" ht="30" hidden="1" customHeight="1">
      <c r="A264" s="41" t="s">
        <v>228</v>
      </c>
      <c r="B264" s="116" t="s">
        <v>1373</v>
      </c>
      <c r="C264" s="116" t="s">
        <v>1374</v>
      </c>
      <c r="D264" s="116" t="s">
        <v>1375</v>
      </c>
      <c r="E264" s="117" t="s">
        <v>107</v>
      </c>
      <c r="F264" s="117" t="s">
        <v>108</v>
      </c>
      <c r="G264" s="116"/>
      <c r="H264" s="119"/>
      <c r="I264" s="118" t="s">
        <v>109</v>
      </c>
      <c r="J264" s="41" t="s">
        <v>110</v>
      </c>
      <c r="K264" s="41">
        <v>2</v>
      </c>
      <c r="L264" s="41" t="s">
        <v>110</v>
      </c>
      <c r="M264" s="41">
        <v>2</v>
      </c>
      <c r="N264" s="39"/>
      <c r="O264" s="39"/>
      <c r="P264" s="5" t="s">
        <v>111</v>
      </c>
      <c r="Q264" s="41">
        <v>1</v>
      </c>
      <c r="R264" s="5" t="s">
        <v>112</v>
      </c>
      <c r="S264" s="41">
        <v>3</v>
      </c>
      <c r="T264" s="41" t="s">
        <v>232</v>
      </c>
      <c r="U264" s="41" t="s">
        <v>233</v>
      </c>
      <c r="V264" s="41"/>
      <c r="W264" s="174">
        <v>45676</v>
      </c>
      <c r="X264" s="174">
        <v>45681</v>
      </c>
      <c r="Y264" s="41"/>
      <c r="Z264" s="42" t="s">
        <v>1376</v>
      </c>
      <c r="AA264" s="37" t="s">
        <v>1189</v>
      </c>
      <c r="AB264" s="42" t="s">
        <v>118</v>
      </c>
      <c r="AC264" s="42" t="s">
        <v>262</v>
      </c>
      <c r="AD264" s="51"/>
      <c r="AE264" s="51"/>
      <c r="AF264" s="12">
        <f t="shared" si="7"/>
        <v>78</v>
      </c>
      <c r="AG264" s="7">
        <v>60</v>
      </c>
      <c r="AH264" s="7"/>
      <c r="AI264" s="7">
        <v>80</v>
      </c>
      <c r="AJ264" s="7"/>
      <c r="AK264" s="7">
        <v>100</v>
      </c>
      <c r="AL264" s="7"/>
      <c r="AM264" s="7">
        <v>100</v>
      </c>
      <c r="AN264" s="7"/>
      <c r="AO264" s="63">
        <v>5.8</v>
      </c>
      <c r="AP264" s="58">
        <v>1600</v>
      </c>
      <c r="AQ264" s="58">
        <v>420</v>
      </c>
      <c r="AR264" s="58">
        <v>420</v>
      </c>
      <c r="AS264" s="30">
        <v>29232</v>
      </c>
      <c r="AT264" s="30">
        <v>18560</v>
      </c>
      <c r="AU264" s="30">
        <v>47792</v>
      </c>
      <c r="AV264" s="197">
        <v>29232</v>
      </c>
      <c r="AW264" s="197">
        <v>18560</v>
      </c>
      <c r="AX264" s="197">
        <v>47792</v>
      </c>
      <c r="AY264" s="203"/>
      <c r="AZ264" s="203"/>
      <c r="BA264" s="203">
        <v>0</v>
      </c>
      <c r="BB264" s="41" t="s">
        <v>1190</v>
      </c>
      <c r="BC264" s="191"/>
      <c r="BD264" s="190">
        <v>3</v>
      </c>
      <c r="BE264" s="30"/>
      <c r="BF264" s="186"/>
      <c r="BG264" s="183"/>
      <c r="BH264" s="183"/>
    </row>
    <row r="265" spans="1:60" ht="30" hidden="1" customHeight="1">
      <c r="A265" s="41" t="s">
        <v>239</v>
      </c>
      <c r="B265" s="116" t="s">
        <v>1377</v>
      </c>
      <c r="C265" s="116" t="s">
        <v>649</v>
      </c>
      <c r="D265" s="116"/>
      <c r="E265" s="117" t="s">
        <v>176</v>
      </c>
      <c r="F265" s="117" t="s">
        <v>651</v>
      </c>
      <c r="G265" s="116"/>
      <c r="H265" s="119"/>
      <c r="I265" s="118"/>
      <c r="J265" s="41" t="s">
        <v>110</v>
      </c>
      <c r="K265" s="41">
        <v>1</v>
      </c>
      <c r="L265" s="41" t="s">
        <v>110</v>
      </c>
      <c r="M265" s="41">
        <v>1</v>
      </c>
      <c r="N265" s="39" t="s">
        <v>115</v>
      </c>
      <c r="O265" s="39">
        <v>1</v>
      </c>
      <c r="P265" s="5" t="s">
        <v>111</v>
      </c>
      <c r="Q265" s="41"/>
      <c r="R265" s="5" t="s">
        <v>112</v>
      </c>
      <c r="S265" s="41">
        <v>3</v>
      </c>
      <c r="T265" s="41" t="s">
        <v>139</v>
      </c>
      <c r="U265" s="41"/>
      <c r="V265" s="41"/>
      <c r="W265" s="174">
        <v>45992</v>
      </c>
      <c r="X265" s="174">
        <v>45992</v>
      </c>
      <c r="Y265" s="41"/>
      <c r="Z265" s="42" t="s">
        <v>141</v>
      </c>
      <c r="AA265" s="42" t="s">
        <v>653</v>
      </c>
      <c r="AB265" s="42" t="s">
        <v>118</v>
      </c>
      <c r="AC265" s="42" t="s">
        <v>654</v>
      </c>
      <c r="AD265" s="42"/>
      <c r="AE265" s="42"/>
      <c r="AF265" s="12">
        <f t="shared" si="7"/>
        <v>72</v>
      </c>
      <c r="AG265" s="7">
        <v>80</v>
      </c>
      <c r="AH265" s="7" t="s">
        <v>655</v>
      </c>
      <c r="AI265" s="7">
        <v>80</v>
      </c>
      <c r="AJ265" s="7" t="s">
        <v>656</v>
      </c>
      <c r="AK265" s="7">
        <v>40</v>
      </c>
      <c r="AL265" s="7" t="s">
        <v>657</v>
      </c>
      <c r="AM265" s="7">
        <v>80</v>
      </c>
      <c r="AN265" s="7" t="s">
        <v>658</v>
      </c>
      <c r="AO265" s="63">
        <v>5.8</v>
      </c>
      <c r="AP265" s="58">
        <v>1600</v>
      </c>
      <c r="AQ265" s="58">
        <v>390</v>
      </c>
      <c r="AR265" s="58">
        <v>390</v>
      </c>
      <c r="AS265" s="30">
        <v>13572</v>
      </c>
      <c r="AT265" s="30">
        <v>9280</v>
      </c>
      <c r="AU265" s="30">
        <v>22852</v>
      </c>
      <c r="AV265" s="197">
        <v>13572</v>
      </c>
      <c r="AW265" s="197">
        <v>9280</v>
      </c>
      <c r="AX265" s="197">
        <v>22852</v>
      </c>
      <c r="AY265" s="203"/>
      <c r="AZ265" s="203"/>
      <c r="BA265" s="203">
        <v>0</v>
      </c>
      <c r="BB265" s="41" t="s">
        <v>659</v>
      </c>
      <c r="BC265" s="191"/>
      <c r="BD265" s="189">
        <v>3</v>
      </c>
      <c r="BE265" s="30" t="s">
        <v>661</v>
      </c>
      <c r="BF265" s="186"/>
      <c r="BG265" s="183"/>
      <c r="BH265" s="183"/>
    </row>
    <row r="266" spans="1:60" ht="30" hidden="1" customHeight="1">
      <c r="A266" s="41" t="s">
        <v>476</v>
      </c>
      <c r="B266" s="116" t="s">
        <v>1378</v>
      </c>
      <c r="C266" s="116" t="s">
        <v>1379</v>
      </c>
      <c r="D266" s="116"/>
      <c r="E266" s="117" t="s">
        <v>107</v>
      </c>
      <c r="F266" s="117" t="s">
        <v>108</v>
      </c>
      <c r="G266" s="116"/>
      <c r="H266" s="119"/>
      <c r="I266" s="118"/>
      <c r="J266" s="41" t="s">
        <v>110</v>
      </c>
      <c r="K266" s="41">
        <v>2</v>
      </c>
      <c r="L266" s="41" t="s">
        <v>110</v>
      </c>
      <c r="M266" s="41">
        <v>2</v>
      </c>
      <c r="N266" s="39"/>
      <c r="O266" s="39"/>
      <c r="P266" s="5" t="s">
        <v>111</v>
      </c>
      <c r="Q266" s="41"/>
      <c r="R266" s="5" t="s">
        <v>112</v>
      </c>
      <c r="S266" s="41">
        <v>5</v>
      </c>
      <c r="T266" s="41" t="s">
        <v>139</v>
      </c>
      <c r="U266" s="41"/>
      <c r="V266" s="41"/>
      <c r="W266" s="174">
        <v>45992</v>
      </c>
      <c r="X266" s="174">
        <v>45992</v>
      </c>
      <c r="Y266" s="41"/>
      <c r="Z266" s="42" t="s">
        <v>581</v>
      </c>
      <c r="AA266" s="37" t="s">
        <v>1380</v>
      </c>
      <c r="AB266" s="42" t="s">
        <v>517</v>
      </c>
      <c r="AC266" s="42" t="s">
        <v>1381</v>
      </c>
      <c r="AD266" s="51"/>
      <c r="AE266" s="51"/>
      <c r="AF266" s="12">
        <f t="shared" si="7"/>
        <v>72</v>
      </c>
      <c r="AG266" s="7">
        <v>80</v>
      </c>
      <c r="AH266" s="7"/>
      <c r="AI266" s="7">
        <v>40</v>
      </c>
      <c r="AJ266" s="7"/>
      <c r="AK266" s="7">
        <v>100</v>
      </c>
      <c r="AL266" s="7"/>
      <c r="AM266" s="7">
        <v>80</v>
      </c>
      <c r="AN266" s="7"/>
      <c r="AO266" s="63">
        <v>5.8</v>
      </c>
      <c r="AP266" s="58">
        <v>1600</v>
      </c>
      <c r="AQ266" s="58">
        <v>370</v>
      </c>
      <c r="AR266" s="58">
        <v>370</v>
      </c>
      <c r="AS266" s="30">
        <v>34336</v>
      </c>
      <c r="AT266" s="30">
        <v>18560</v>
      </c>
      <c r="AU266" s="30">
        <v>52896</v>
      </c>
      <c r="AV266" s="197">
        <v>34336</v>
      </c>
      <c r="AW266" s="197">
        <v>18560</v>
      </c>
      <c r="AX266" s="197">
        <v>52896</v>
      </c>
      <c r="AY266" s="203"/>
      <c r="AZ266" s="203"/>
      <c r="BA266" s="203">
        <v>0</v>
      </c>
      <c r="BB266" s="41" t="s">
        <v>584</v>
      </c>
      <c r="BC266" s="191"/>
      <c r="BD266" s="190">
        <v>3</v>
      </c>
      <c r="BE266" s="30"/>
      <c r="BF266" s="186"/>
      <c r="BG266" s="183"/>
      <c r="BH266" s="183"/>
    </row>
    <row r="267" spans="1:60" ht="30" hidden="1" customHeight="1">
      <c r="A267" s="41" t="s">
        <v>122</v>
      </c>
      <c r="B267" s="116" t="s">
        <v>984</v>
      </c>
      <c r="C267" s="116" t="s">
        <v>1382</v>
      </c>
      <c r="D267" s="116" t="s">
        <v>985</v>
      </c>
      <c r="E267" s="117" t="s">
        <v>216</v>
      </c>
      <c r="F267" s="117" t="s">
        <v>340</v>
      </c>
      <c r="G267" s="116" t="s">
        <v>913</v>
      </c>
      <c r="H267" s="119"/>
      <c r="I267" s="118"/>
      <c r="J267" s="41" t="s">
        <v>110</v>
      </c>
      <c r="K267" s="41">
        <v>0</v>
      </c>
      <c r="L267" s="41" t="s">
        <v>110</v>
      </c>
      <c r="M267" s="41">
        <v>1</v>
      </c>
      <c r="N267" s="39" t="s">
        <v>115</v>
      </c>
      <c r="O267" s="39">
        <v>1</v>
      </c>
      <c r="P267" s="5" t="s">
        <v>111</v>
      </c>
      <c r="Q267" s="41"/>
      <c r="R267" s="5" t="s">
        <v>112</v>
      </c>
      <c r="S267" s="41">
        <v>4</v>
      </c>
      <c r="T267" s="41" t="s">
        <v>801</v>
      </c>
      <c r="U267" s="41"/>
      <c r="V267" s="41"/>
      <c r="W267" s="174">
        <v>45992</v>
      </c>
      <c r="X267" s="174">
        <v>45992</v>
      </c>
      <c r="Y267" s="41"/>
      <c r="Z267" s="42" t="s">
        <v>141</v>
      </c>
      <c r="AA267" s="42" t="s">
        <v>986</v>
      </c>
      <c r="AB267" s="42" t="s">
        <v>118</v>
      </c>
      <c r="AC267" s="42"/>
      <c r="AD267" s="42"/>
      <c r="AE267" s="42"/>
      <c r="AF267" s="12">
        <f t="shared" si="7"/>
        <v>72</v>
      </c>
      <c r="AG267" s="7">
        <v>80</v>
      </c>
      <c r="AH267" s="7"/>
      <c r="AI267" s="7">
        <v>80</v>
      </c>
      <c r="AJ267" s="7" t="s">
        <v>534</v>
      </c>
      <c r="AK267" s="7">
        <v>40</v>
      </c>
      <c r="AL267" s="7"/>
      <c r="AM267" s="7">
        <v>80</v>
      </c>
      <c r="AN267" s="7"/>
      <c r="AO267" s="63">
        <v>5.8</v>
      </c>
      <c r="AP267" s="58">
        <v>1600</v>
      </c>
      <c r="AQ267" s="58">
        <v>390</v>
      </c>
      <c r="AR267" s="58">
        <v>390</v>
      </c>
      <c r="AS267" s="30">
        <v>0</v>
      </c>
      <c r="AT267" s="30">
        <v>0</v>
      </c>
      <c r="AU267" s="30">
        <v>0</v>
      </c>
      <c r="AV267" s="197">
        <v>15834</v>
      </c>
      <c r="AW267" s="197">
        <v>9280</v>
      </c>
      <c r="AX267" s="197">
        <v>25114</v>
      </c>
      <c r="AY267" s="203"/>
      <c r="AZ267" s="203"/>
      <c r="BA267" s="203">
        <v>0</v>
      </c>
      <c r="BB267" s="41" t="s">
        <v>535</v>
      </c>
      <c r="BC267" s="191"/>
      <c r="BD267" s="189">
        <v>3</v>
      </c>
      <c r="BE267" s="30" t="s">
        <v>537</v>
      </c>
      <c r="BF267" s="186"/>
      <c r="BG267" s="183"/>
      <c r="BH267" s="183"/>
    </row>
    <row r="268" spans="1:60" ht="30" hidden="1" customHeight="1">
      <c r="A268" s="41" t="s">
        <v>1383</v>
      </c>
      <c r="B268" s="120" t="s">
        <v>1384</v>
      </c>
      <c r="C268" s="116" t="s">
        <v>1385</v>
      </c>
      <c r="D268" s="117" t="s">
        <v>1386</v>
      </c>
      <c r="E268" s="117" t="s">
        <v>339</v>
      </c>
      <c r="F268" s="117" t="s">
        <v>340</v>
      </c>
      <c r="G268" s="120"/>
      <c r="H268" s="121"/>
      <c r="I268" s="118" t="s">
        <v>109</v>
      </c>
      <c r="J268" s="41" t="s">
        <v>110</v>
      </c>
      <c r="K268" s="118">
        <v>2</v>
      </c>
      <c r="L268" s="41" t="s">
        <v>110</v>
      </c>
      <c r="M268" s="41">
        <v>1</v>
      </c>
      <c r="N268" s="39" t="s">
        <v>115</v>
      </c>
      <c r="O268" s="39">
        <v>1</v>
      </c>
      <c r="P268" s="5" t="s">
        <v>111</v>
      </c>
      <c r="Q268" s="41">
        <v>1</v>
      </c>
      <c r="R268" s="5" t="s">
        <v>112</v>
      </c>
      <c r="S268" s="41">
        <v>3</v>
      </c>
      <c r="T268" s="41" t="s">
        <v>139</v>
      </c>
      <c r="U268" s="41" t="s">
        <v>1387</v>
      </c>
      <c r="V268" s="41"/>
      <c r="W268" s="174">
        <v>45699</v>
      </c>
      <c r="X268" s="174">
        <v>45701</v>
      </c>
      <c r="Y268" s="41" t="s">
        <v>115</v>
      </c>
      <c r="Z268" s="42" t="s">
        <v>141</v>
      </c>
      <c r="AA268" s="42" t="s">
        <v>1388</v>
      </c>
      <c r="AB268" s="42" t="s">
        <v>517</v>
      </c>
      <c r="AC268" s="42" t="s">
        <v>1389</v>
      </c>
      <c r="AD268" s="42"/>
      <c r="AE268" s="42"/>
      <c r="AF268" s="12">
        <f t="shared" si="7"/>
        <v>86</v>
      </c>
      <c r="AG268" s="7">
        <v>80</v>
      </c>
      <c r="AH268" s="7"/>
      <c r="AI268" s="7">
        <v>100</v>
      </c>
      <c r="AJ268" s="7" t="s">
        <v>1390</v>
      </c>
      <c r="AK268" s="7">
        <v>80</v>
      </c>
      <c r="AL268" s="7"/>
      <c r="AM268" s="7">
        <v>80</v>
      </c>
      <c r="AN268" s="7"/>
      <c r="AO268" s="63">
        <v>5.8</v>
      </c>
      <c r="AP268" s="58">
        <v>1600</v>
      </c>
      <c r="AQ268" s="58">
        <v>420</v>
      </c>
      <c r="AR268" s="58">
        <v>420</v>
      </c>
      <c r="AS268" s="30">
        <v>29232</v>
      </c>
      <c r="AT268" s="30"/>
      <c r="AU268" s="30">
        <v>29232</v>
      </c>
      <c r="AV268" s="197">
        <v>14616</v>
      </c>
      <c r="AW268" s="197"/>
      <c r="AX268" s="197">
        <v>14616</v>
      </c>
      <c r="AY268" s="203">
        <v>9504.3700000000008</v>
      </c>
      <c r="AZ268" s="203">
        <v>7783.24</v>
      </c>
      <c r="BA268" s="203">
        <v>9504.3700000000008</v>
      </c>
      <c r="BB268" s="41" t="s">
        <v>1391</v>
      </c>
      <c r="BC268" s="191" t="s">
        <v>1392</v>
      </c>
      <c r="BD268" s="189">
        <v>3</v>
      </c>
      <c r="BE268" s="30"/>
      <c r="BF268" s="186"/>
      <c r="BG268" s="183"/>
      <c r="BH268" s="183"/>
    </row>
    <row r="269" spans="1:60" ht="30" hidden="1" customHeight="1">
      <c r="A269" s="41" t="s">
        <v>122</v>
      </c>
      <c r="B269" s="116" t="s">
        <v>1393</v>
      </c>
      <c r="C269" s="116" t="s">
        <v>1394</v>
      </c>
      <c r="D269" s="116"/>
      <c r="E269" s="117" t="s">
        <v>126</v>
      </c>
      <c r="F269" s="117" t="s">
        <v>127</v>
      </c>
      <c r="G269" s="116" t="s">
        <v>1395</v>
      </c>
      <c r="H269" s="119"/>
      <c r="I269" s="118"/>
      <c r="J269" s="41" t="s">
        <v>110</v>
      </c>
      <c r="K269" s="41">
        <v>1</v>
      </c>
      <c r="L269" s="41" t="s">
        <v>110</v>
      </c>
      <c r="M269" s="41">
        <v>1</v>
      </c>
      <c r="N269" s="39"/>
      <c r="O269" s="39"/>
      <c r="P269" s="5" t="s">
        <v>111</v>
      </c>
      <c r="Q269" s="41"/>
      <c r="R269" s="5" t="s">
        <v>799</v>
      </c>
      <c r="S269" s="41">
        <v>3</v>
      </c>
      <c r="T269" s="41" t="s">
        <v>285</v>
      </c>
      <c r="U269" s="41"/>
      <c r="V269" s="41"/>
      <c r="W269" s="174">
        <v>45992</v>
      </c>
      <c r="X269" s="174">
        <v>45992</v>
      </c>
      <c r="Y269" s="41"/>
      <c r="Z269" s="42" t="s">
        <v>116</v>
      </c>
      <c r="AA269" s="42" t="s">
        <v>1396</v>
      </c>
      <c r="AB269" s="42" t="s">
        <v>118</v>
      </c>
      <c r="AC269" s="42" t="s">
        <v>132</v>
      </c>
      <c r="AD269" s="42"/>
      <c r="AE269" s="42"/>
      <c r="AF269" s="12">
        <f t="shared" si="7"/>
        <v>72</v>
      </c>
      <c r="AG269" s="7">
        <v>80</v>
      </c>
      <c r="AH269" s="7"/>
      <c r="AI269" s="7">
        <v>80</v>
      </c>
      <c r="AJ269" s="7" t="s">
        <v>133</v>
      </c>
      <c r="AK269" s="7">
        <v>40</v>
      </c>
      <c r="AL269" s="7"/>
      <c r="AM269" s="7">
        <v>80</v>
      </c>
      <c r="AN269" s="7"/>
      <c r="AO269" s="63">
        <v>5.8</v>
      </c>
      <c r="AP269" s="58">
        <v>1600</v>
      </c>
      <c r="AQ269" s="58">
        <v>310</v>
      </c>
      <c r="AR269" s="58">
        <v>310</v>
      </c>
      <c r="AS269" s="30">
        <v>10788</v>
      </c>
      <c r="AT269" s="30">
        <v>9280</v>
      </c>
      <c r="AU269" s="30">
        <v>20068</v>
      </c>
      <c r="AV269" s="197">
        <v>10788</v>
      </c>
      <c r="AW269" s="197">
        <v>9280</v>
      </c>
      <c r="AX269" s="197">
        <v>20068</v>
      </c>
      <c r="AY269" s="203"/>
      <c r="AZ269" s="203"/>
      <c r="BA269" s="203">
        <v>0</v>
      </c>
      <c r="BB269" s="41" t="s">
        <v>1397</v>
      </c>
      <c r="BC269" s="191"/>
      <c r="BD269" s="189">
        <v>3</v>
      </c>
      <c r="BE269" s="30"/>
      <c r="BF269" s="186"/>
      <c r="BG269" s="183"/>
      <c r="BH269" s="183"/>
    </row>
    <row r="270" spans="1:60" ht="30" hidden="1" customHeight="1">
      <c r="A270" s="41" t="s">
        <v>228</v>
      </c>
      <c r="B270" s="116" t="s">
        <v>1398</v>
      </c>
      <c r="C270" s="116" t="s">
        <v>442</v>
      </c>
      <c r="D270" s="116"/>
      <c r="E270" s="117" t="s">
        <v>107</v>
      </c>
      <c r="F270" s="117" t="s">
        <v>108</v>
      </c>
      <c r="G270" s="116" t="s">
        <v>186</v>
      </c>
      <c r="H270" s="119"/>
      <c r="I270" s="118"/>
      <c r="J270" s="41" t="s">
        <v>110</v>
      </c>
      <c r="K270" s="41">
        <v>1</v>
      </c>
      <c r="L270" s="41" t="s">
        <v>110</v>
      </c>
      <c r="M270" s="41">
        <v>1</v>
      </c>
      <c r="N270" s="39"/>
      <c r="O270" s="39"/>
      <c r="P270" s="5" t="s">
        <v>111</v>
      </c>
      <c r="Q270" s="41"/>
      <c r="R270" s="41" t="s">
        <v>112</v>
      </c>
      <c r="S270" s="41">
        <v>1</v>
      </c>
      <c r="T270" s="41" t="s">
        <v>801</v>
      </c>
      <c r="U270" s="41"/>
      <c r="V270" s="41"/>
      <c r="W270" s="174">
        <v>45992</v>
      </c>
      <c r="X270" s="174">
        <v>45992</v>
      </c>
      <c r="Y270" s="41"/>
      <c r="Z270" s="42" t="s">
        <v>141</v>
      </c>
      <c r="AA270" s="37" t="s">
        <v>1399</v>
      </c>
      <c r="AB270" s="42" t="s">
        <v>118</v>
      </c>
      <c r="AC270" s="42" t="s">
        <v>119</v>
      </c>
      <c r="AD270" s="51"/>
      <c r="AE270" s="51"/>
      <c r="AF270" s="12">
        <f t="shared" si="7"/>
        <v>72</v>
      </c>
      <c r="AG270" s="7">
        <v>80</v>
      </c>
      <c r="AH270" s="7"/>
      <c r="AI270" s="7">
        <v>80</v>
      </c>
      <c r="AJ270" s="7" t="s">
        <v>1400</v>
      </c>
      <c r="AK270" s="7">
        <v>40</v>
      </c>
      <c r="AL270" s="7"/>
      <c r="AM270" s="7">
        <v>80</v>
      </c>
      <c r="AN270" s="7"/>
      <c r="AO270" s="63">
        <v>5.8</v>
      </c>
      <c r="AP270" s="58">
        <v>1600</v>
      </c>
      <c r="AQ270" s="58">
        <v>390</v>
      </c>
      <c r="AR270" s="58">
        <v>390</v>
      </c>
      <c r="AS270" s="30">
        <v>9048</v>
      </c>
      <c r="AT270" s="30">
        <v>9280</v>
      </c>
      <c r="AU270" s="30">
        <v>18328</v>
      </c>
      <c r="AV270" s="197">
        <v>9048</v>
      </c>
      <c r="AW270" s="197">
        <v>9280</v>
      </c>
      <c r="AX270" s="197">
        <v>18328</v>
      </c>
      <c r="AY270" s="203"/>
      <c r="AZ270" s="203"/>
      <c r="BA270" s="203">
        <v>0</v>
      </c>
      <c r="BB270" s="41" t="s">
        <v>1401</v>
      </c>
      <c r="BC270" s="191"/>
      <c r="BD270" s="190">
        <v>3</v>
      </c>
      <c r="BE270" s="30"/>
      <c r="BF270" s="186"/>
      <c r="BG270" s="183"/>
      <c r="BH270" s="183"/>
    </row>
    <row r="271" spans="1:60" ht="30" hidden="1" customHeight="1">
      <c r="A271" s="115" t="s">
        <v>122</v>
      </c>
      <c r="B271" s="116" t="s">
        <v>1402</v>
      </c>
      <c r="C271" s="116" t="s">
        <v>122</v>
      </c>
      <c r="D271" s="116"/>
      <c r="E271" s="117" t="s">
        <v>274</v>
      </c>
      <c r="F271" s="117" t="s">
        <v>275</v>
      </c>
      <c r="G271" s="116" t="s">
        <v>1403</v>
      </c>
      <c r="H271" s="119"/>
      <c r="I271" s="118" t="s">
        <v>266</v>
      </c>
      <c r="J271" s="41" t="s">
        <v>110</v>
      </c>
      <c r="K271" s="5">
        <v>2</v>
      </c>
      <c r="L271" s="41" t="s">
        <v>110</v>
      </c>
      <c r="M271" s="5">
        <v>1</v>
      </c>
      <c r="N271" s="7"/>
      <c r="O271" s="7"/>
      <c r="P271" s="5" t="s">
        <v>111</v>
      </c>
      <c r="Q271" s="5"/>
      <c r="R271" s="5" t="s">
        <v>112</v>
      </c>
      <c r="S271" s="5">
        <v>3</v>
      </c>
      <c r="T271" s="5" t="s">
        <v>924</v>
      </c>
      <c r="U271" s="5"/>
      <c r="V271" s="5" t="s">
        <v>115</v>
      </c>
      <c r="W271" s="174">
        <v>45992</v>
      </c>
      <c r="X271" s="174">
        <v>45992</v>
      </c>
      <c r="Y271" s="5"/>
      <c r="Z271" s="3" t="s">
        <v>524</v>
      </c>
      <c r="AA271" s="2" t="s">
        <v>1404</v>
      </c>
      <c r="AB271" s="3" t="s">
        <v>118</v>
      </c>
      <c r="AC271" s="3" t="s">
        <v>356</v>
      </c>
      <c r="AD271" s="50"/>
      <c r="AE271" s="50"/>
      <c r="AF271" s="12">
        <f t="shared" si="7"/>
        <v>72</v>
      </c>
      <c r="AG271" s="7">
        <v>60</v>
      </c>
      <c r="AH271" s="7"/>
      <c r="AI271" s="7">
        <v>80</v>
      </c>
      <c r="AJ271" s="7"/>
      <c r="AK271" s="7">
        <v>80</v>
      </c>
      <c r="AL271" s="7" t="s">
        <v>1405</v>
      </c>
      <c r="AM271" s="7">
        <v>80</v>
      </c>
      <c r="AN271" s="7"/>
      <c r="AO271" s="63">
        <v>5.8</v>
      </c>
      <c r="AP271" s="58">
        <v>800</v>
      </c>
      <c r="AQ271" s="58">
        <v>280</v>
      </c>
      <c r="AR271" s="58">
        <v>280</v>
      </c>
      <c r="AS271" s="30">
        <v>16240</v>
      </c>
      <c r="AT271" s="30">
        <v>9280</v>
      </c>
      <c r="AU271" s="30">
        <v>25520</v>
      </c>
      <c r="AV271" s="197">
        <v>8120</v>
      </c>
      <c r="AW271" s="197">
        <v>4640</v>
      </c>
      <c r="AX271" s="197">
        <v>12760</v>
      </c>
      <c r="AY271" s="202"/>
      <c r="AZ271" s="202"/>
      <c r="BA271" s="202">
        <v>0</v>
      </c>
      <c r="BB271" s="189" t="s">
        <v>1094</v>
      </c>
      <c r="BC271" s="189"/>
      <c r="BD271" s="190">
        <v>2</v>
      </c>
      <c r="BE271" s="30"/>
      <c r="BF271" s="186"/>
      <c r="BG271" s="183"/>
      <c r="BH271" s="183"/>
    </row>
    <row r="272" spans="1:60" ht="30" hidden="1" customHeight="1">
      <c r="A272" s="115" t="s">
        <v>122</v>
      </c>
      <c r="B272" s="116" t="s">
        <v>1406</v>
      </c>
      <c r="C272" s="116" t="s">
        <v>105</v>
      </c>
      <c r="D272" s="116"/>
      <c r="E272" s="117" t="s">
        <v>216</v>
      </c>
      <c r="F272" s="117" t="s">
        <v>217</v>
      </c>
      <c r="G272" s="116"/>
      <c r="H272" s="119"/>
      <c r="I272" s="118"/>
      <c r="J272" s="41" t="s">
        <v>110</v>
      </c>
      <c r="K272" s="5">
        <v>1</v>
      </c>
      <c r="L272" s="41" t="s">
        <v>110</v>
      </c>
      <c r="M272" s="5">
        <v>1</v>
      </c>
      <c r="N272" s="7" t="s">
        <v>115</v>
      </c>
      <c r="O272" s="7">
        <v>1</v>
      </c>
      <c r="P272" s="5" t="s">
        <v>111</v>
      </c>
      <c r="Q272" s="5"/>
      <c r="R272" s="5" t="s">
        <v>112</v>
      </c>
      <c r="S272" s="5">
        <v>4</v>
      </c>
      <c r="T272" s="5" t="s">
        <v>218</v>
      </c>
      <c r="U272" s="5"/>
      <c r="V272" s="5"/>
      <c r="W272" s="174">
        <v>45992</v>
      </c>
      <c r="X272" s="174">
        <v>45992</v>
      </c>
      <c r="Y272" s="5"/>
      <c r="Z272" s="3" t="s">
        <v>116</v>
      </c>
      <c r="AA272" s="3" t="s">
        <v>1407</v>
      </c>
      <c r="AB272" s="3" t="s">
        <v>118</v>
      </c>
      <c r="AC272" s="3" t="s">
        <v>222</v>
      </c>
      <c r="AD272" s="3"/>
      <c r="AE272" s="3"/>
      <c r="AF272" s="12">
        <f t="shared" si="7"/>
        <v>72</v>
      </c>
      <c r="AG272" s="7">
        <v>80</v>
      </c>
      <c r="AH272" s="7" t="s">
        <v>1408</v>
      </c>
      <c r="AI272" s="7">
        <v>80</v>
      </c>
      <c r="AJ272" s="7" t="s">
        <v>1409</v>
      </c>
      <c r="AK272" s="7">
        <v>40</v>
      </c>
      <c r="AL272" s="7"/>
      <c r="AM272" s="7">
        <v>80</v>
      </c>
      <c r="AN272" s="7"/>
      <c r="AO272" s="63">
        <v>5.8</v>
      </c>
      <c r="AP272" s="58">
        <v>1600</v>
      </c>
      <c r="AQ272" s="58">
        <v>350</v>
      </c>
      <c r="AR272" s="58">
        <v>350</v>
      </c>
      <c r="AS272" s="30">
        <v>14210</v>
      </c>
      <c r="AT272" s="30">
        <v>9280</v>
      </c>
      <c r="AU272" s="30">
        <v>23490</v>
      </c>
      <c r="AV272" s="197">
        <v>14210</v>
      </c>
      <c r="AW272" s="197">
        <v>9280</v>
      </c>
      <c r="AX272" s="197">
        <v>23490</v>
      </c>
      <c r="AY272" s="202"/>
      <c r="AZ272" s="202"/>
      <c r="BA272" s="202">
        <v>0</v>
      </c>
      <c r="BB272" s="189" t="s">
        <v>1410</v>
      </c>
      <c r="BC272" s="189"/>
      <c r="BD272" s="189">
        <v>3</v>
      </c>
      <c r="BE272" s="30" t="s">
        <v>1411</v>
      </c>
      <c r="BF272" s="186"/>
      <c r="BG272" s="183"/>
      <c r="BH272" s="183"/>
    </row>
    <row r="273" spans="1:60" ht="30" hidden="1" customHeight="1">
      <c r="A273" s="115" t="s">
        <v>1412</v>
      </c>
      <c r="B273" s="116" t="s">
        <v>1413</v>
      </c>
      <c r="C273" s="116" t="s">
        <v>105</v>
      </c>
      <c r="D273" s="116"/>
      <c r="E273" s="117" t="s">
        <v>107</v>
      </c>
      <c r="F273" s="117" t="s">
        <v>108</v>
      </c>
      <c r="G273" s="116"/>
      <c r="H273" s="119"/>
      <c r="I273" s="118"/>
      <c r="J273" s="41" t="s">
        <v>110</v>
      </c>
      <c r="K273" s="5">
        <v>1</v>
      </c>
      <c r="L273" s="41" t="s">
        <v>110</v>
      </c>
      <c r="M273" s="5">
        <v>1</v>
      </c>
      <c r="N273" s="7"/>
      <c r="O273" s="7"/>
      <c r="P273" s="5" t="s">
        <v>111</v>
      </c>
      <c r="Q273" s="5"/>
      <c r="R273" s="5" t="s">
        <v>112</v>
      </c>
      <c r="S273" s="5">
        <v>4</v>
      </c>
      <c r="T273" s="5" t="s">
        <v>139</v>
      </c>
      <c r="U273" s="5"/>
      <c r="V273" s="5"/>
      <c r="W273" s="174">
        <v>45992</v>
      </c>
      <c r="X273" s="174">
        <v>45992</v>
      </c>
      <c r="Y273" s="5"/>
      <c r="Z273" s="3" t="s">
        <v>141</v>
      </c>
      <c r="AA273" s="2" t="s">
        <v>1414</v>
      </c>
      <c r="AB273" s="3" t="s">
        <v>118</v>
      </c>
      <c r="AC273" s="3" t="s">
        <v>119</v>
      </c>
      <c r="AD273" s="50"/>
      <c r="AE273" s="50"/>
      <c r="AF273" s="12">
        <f t="shared" si="7"/>
        <v>72</v>
      </c>
      <c r="AG273" s="7">
        <v>80</v>
      </c>
      <c r="AH273" s="7"/>
      <c r="AI273" s="7">
        <v>80</v>
      </c>
      <c r="AJ273" s="7" t="s">
        <v>1415</v>
      </c>
      <c r="AK273" s="7">
        <v>40</v>
      </c>
      <c r="AL273" s="7"/>
      <c r="AM273" s="7">
        <v>80</v>
      </c>
      <c r="AN273" s="7"/>
      <c r="AO273" s="63">
        <v>5.8</v>
      </c>
      <c r="AP273" s="58">
        <v>1600</v>
      </c>
      <c r="AQ273" s="58">
        <v>420</v>
      </c>
      <c r="AR273" s="58">
        <v>420</v>
      </c>
      <c r="AS273" s="30">
        <v>17052</v>
      </c>
      <c r="AT273" s="30">
        <v>9280</v>
      </c>
      <c r="AU273" s="30">
        <v>26332</v>
      </c>
      <c r="AV273" s="197">
        <v>17052</v>
      </c>
      <c r="AW273" s="197">
        <v>9280</v>
      </c>
      <c r="AX273" s="197">
        <v>26332</v>
      </c>
      <c r="AY273" s="202"/>
      <c r="AZ273" s="202"/>
      <c r="BA273" s="202">
        <v>0</v>
      </c>
      <c r="BB273" s="189" t="s">
        <v>1216</v>
      </c>
      <c r="BC273" s="191"/>
      <c r="BD273" s="192">
        <v>3</v>
      </c>
      <c r="BE273" s="30"/>
      <c r="BF273" s="186"/>
      <c r="BG273" s="183"/>
      <c r="BH273" s="183"/>
    </row>
    <row r="274" spans="1:60" ht="30" hidden="1" customHeight="1">
      <c r="A274" s="115" t="s">
        <v>1412</v>
      </c>
      <c r="B274" s="116" t="s">
        <v>1416</v>
      </c>
      <c r="C274" s="116" t="s">
        <v>1417</v>
      </c>
      <c r="D274" s="116" t="s">
        <v>1418</v>
      </c>
      <c r="E274" s="117" t="s">
        <v>107</v>
      </c>
      <c r="F274" s="117" t="s">
        <v>108</v>
      </c>
      <c r="G274" s="116" t="s">
        <v>186</v>
      </c>
      <c r="H274" s="119"/>
      <c r="I274" s="118" t="s">
        <v>341</v>
      </c>
      <c r="J274" s="41" t="s">
        <v>110</v>
      </c>
      <c r="K274" s="5">
        <v>1</v>
      </c>
      <c r="L274" s="41" t="s">
        <v>110</v>
      </c>
      <c r="M274" s="5">
        <v>1</v>
      </c>
      <c r="N274" s="7" t="s">
        <v>115</v>
      </c>
      <c r="O274" s="7">
        <v>1</v>
      </c>
      <c r="P274" s="5" t="s">
        <v>111</v>
      </c>
      <c r="Q274" s="5"/>
      <c r="R274" s="5" t="s">
        <v>112</v>
      </c>
      <c r="S274" s="5">
        <v>4</v>
      </c>
      <c r="T274" s="5" t="s">
        <v>1419</v>
      </c>
      <c r="U274" s="5" t="s">
        <v>1420</v>
      </c>
      <c r="V274" s="5"/>
      <c r="W274" s="174">
        <v>45795</v>
      </c>
      <c r="X274" s="174">
        <v>45801</v>
      </c>
      <c r="Y274" s="5"/>
      <c r="Z274" s="3" t="s">
        <v>116</v>
      </c>
      <c r="AA274" s="2" t="s">
        <v>1421</v>
      </c>
      <c r="AB274" s="3" t="s">
        <v>118</v>
      </c>
      <c r="AC274" s="3" t="s">
        <v>119</v>
      </c>
      <c r="AD274" s="50"/>
      <c r="AE274" s="50"/>
      <c r="AF274" s="12">
        <f t="shared" si="7"/>
        <v>72</v>
      </c>
      <c r="AG274" s="7">
        <v>80</v>
      </c>
      <c r="AH274" s="7"/>
      <c r="AI274" s="7">
        <v>80</v>
      </c>
      <c r="AJ274" s="7" t="s">
        <v>1422</v>
      </c>
      <c r="AK274" s="7">
        <v>40</v>
      </c>
      <c r="AL274" s="7"/>
      <c r="AM274" s="7">
        <v>80</v>
      </c>
      <c r="AN274" s="7"/>
      <c r="AO274" s="63">
        <v>5.8</v>
      </c>
      <c r="AP274" s="58">
        <v>1600</v>
      </c>
      <c r="AQ274" s="58">
        <v>370</v>
      </c>
      <c r="AR274" s="58">
        <v>370</v>
      </c>
      <c r="AS274" s="30">
        <v>15022</v>
      </c>
      <c r="AT274" s="30">
        <v>9280</v>
      </c>
      <c r="AU274" s="30">
        <v>24302</v>
      </c>
      <c r="AV274" s="197">
        <v>15022</v>
      </c>
      <c r="AW274" s="197">
        <v>9280</v>
      </c>
      <c r="AX274" s="197">
        <v>24302</v>
      </c>
      <c r="AY274" s="202">
        <v>5913.72</v>
      </c>
      <c r="AZ274" s="202">
        <v>11231.08</v>
      </c>
      <c r="BA274" s="202">
        <f>5913.72+11231.08</f>
        <v>17144.8</v>
      </c>
      <c r="BB274" s="189" t="s">
        <v>1423</v>
      </c>
      <c r="BC274" s="191" t="s">
        <v>1424</v>
      </c>
      <c r="BD274" s="192">
        <v>3</v>
      </c>
      <c r="BE274" s="30"/>
      <c r="BF274" s="186"/>
      <c r="BG274" s="183"/>
      <c r="BH274" s="183"/>
    </row>
    <row r="275" spans="1:60" ht="30" hidden="1" customHeight="1">
      <c r="A275" s="115" t="s">
        <v>239</v>
      </c>
      <c r="B275" s="116" t="s">
        <v>1425</v>
      </c>
      <c r="C275" s="116" t="s">
        <v>105</v>
      </c>
      <c r="D275" s="116"/>
      <c r="E275" s="117" t="s">
        <v>107</v>
      </c>
      <c r="F275" s="117" t="s">
        <v>108</v>
      </c>
      <c r="G275" s="116"/>
      <c r="H275" s="119"/>
      <c r="I275" s="118"/>
      <c r="J275" s="41" t="s">
        <v>110</v>
      </c>
      <c r="K275" s="5">
        <v>1</v>
      </c>
      <c r="L275" s="41" t="s">
        <v>110</v>
      </c>
      <c r="M275" s="5">
        <v>1</v>
      </c>
      <c r="N275" s="7"/>
      <c r="O275" s="7"/>
      <c r="P275" s="5" t="s">
        <v>111</v>
      </c>
      <c r="Q275" s="5"/>
      <c r="R275" s="5" t="s">
        <v>112</v>
      </c>
      <c r="S275" s="5">
        <v>3</v>
      </c>
      <c r="T275" s="5" t="s">
        <v>232</v>
      </c>
      <c r="U275" s="5" t="s">
        <v>233</v>
      </c>
      <c r="V275" s="5"/>
      <c r="W275" s="174">
        <v>45992</v>
      </c>
      <c r="X275" s="174">
        <v>45992</v>
      </c>
      <c r="Y275" s="5"/>
      <c r="Z275" s="3" t="s">
        <v>141</v>
      </c>
      <c r="AA275" s="2" t="s">
        <v>1426</v>
      </c>
      <c r="AB275" s="3" t="s">
        <v>118</v>
      </c>
      <c r="AC275" s="3" t="s">
        <v>119</v>
      </c>
      <c r="AD275" s="50"/>
      <c r="AE275" s="50"/>
      <c r="AF275" s="12">
        <f t="shared" si="7"/>
        <v>72</v>
      </c>
      <c r="AG275" s="7">
        <v>80</v>
      </c>
      <c r="AH275" s="7"/>
      <c r="AI275" s="7">
        <v>80</v>
      </c>
      <c r="AJ275" s="7" t="s">
        <v>1427</v>
      </c>
      <c r="AK275" s="7">
        <v>40</v>
      </c>
      <c r="AL275" s="7"/>
      <c r="AM275" s="7">
        <v>80</v>
      </c>
      <c r="AN275" s="7"/>
      <c r="AO275" s="63">
        <v>5.8</v>
      </c>
      <c r="AP275" s="58">
        <v>1600</v>
      </c>
      <c r="AQ275" s="58">
        <v>370</v>
      </c>
      <c r="AR275" s="58">
        <v>370</v>
      </c>
      <c r="AS275" s="30">
        <v>12876</v>
      </c>
      <c r="AT275" s="30">
        <v>9280</v>
      </c>
      <c r="AU275" s="30">
        <v>22156</v>
      </c>
      <c r="AV275" s="197">
        <v>12876</v>
      </c>
      <c r="AW275" s="197">
        <v>9280</v>
      </c>
      <c r="AX275" s="197">
        <v>22156</v>
      </c>
      <c r="AY275" s="202"/>
      <c r="AZ275" s="202"/>
      <c r="BA275" s="202">
        <v>0</v>
      </c>
      <c r="BB275" s="189" t="s">
        <v>1428</v>
      </c>
      <c r="BC275" s="191"/>
      <c r="BD275" s="192">
        <v>3</v>
      </c>
      <c r="BE275" s="30"/>
      <c r="BF275" s="186"/>
      <c r="BG275" s="183"/>
      <c r="BH275" s="183"/>
    </row>
    <row r="276" spans="1:60" ht="30" hidden="1" customHeight="1">
      <c r="A276" s="115" t="s">
        <v>122</v>
      </c>
      <c r="B276" s="116" t="s">
        <v>1429</v>
      </c>
      <c r="C276" s="116" t="s">
        <v>1430</v>
      </c>
      <c r="D276" s="116"/>
      <c r="E276" s="117" t="s">
        <v>274</v>
      </c>
      <c r="F276" s="117" t="s">
        <v>275</v>
      </c>
      <c r="G276" s="116" t="s">
        <v>1431</v>
      </c>
      <c r="H276" s="119"/>
      <c r="I276" s="118"/>
      <c r="J276" s="41" t="s">
        <v>110</v>
      </c>
      <c r="K276" s="5">
        <v>1</v>
      </c>
      <c r="L276" s="41" t="s">
        <v>110</v>
      </c>
      <c r="M276" s="5">
        <v>1</v>
      </c>
      <c r="N276" s="7" t="s">
        <v>115</v>
      </c>
      <c r="O276" s="7">
        <v>2</v>
      </c>
      <c r="P276" s="5" t="s">
        <v>111</v>
      </c>
      <c r="Q276" s="5"/>
      <c r="R276" s="5" t="s">
        <v>112</v>
      </c>
      <c r="S276" s="5">
        <v>5</v>
      </c>
      <c r="T276" s="5" t="s">
        <v>285</v>
      </c>
      <c r="U276" s="5"/>
      <c r="V276" s="5"/>
      <c r="W276" s="174">
        <v>45992</v>
      </c>
      <c r="X276" s="174">
        <v>45992</v>
      </c>
      <c r="Y276" s="5"/>
      <c r="Z276" s="3" t="s">
        <v>116</v>
      </c>
      <c r="AA276" s="2" t="s">
        <v>1432</v>
      </c>
      <c r="AB276" s="3" t="s">
        <v>118</v>
      </c>
      <c r="AC276" s="3" t="s">
        <v>1433</v>
      </c>
      <c r="AD276" s="50"/>
      <c r="AE276" s="50"/>
      <c r="AF276" s="12">
        <f t="shared" si="7"/>
        <v>72</v>
      </c>
      <c r="AG276" s="39">
        <v>80</v>
      </c>
      <c r="AH276" s="39"/>
      <c r="AI276" s="39">
        <v>40</v>
      </c>
      <c r="AJ276" s="39"/>
      <c r="AK276" s="39">
        <v>100</v>
      </c>
      <c r="AL276" s="39"/>
      <c r="AM276" s="39">
        <v>80</v>
      </c>
      <c r="AN276" s="39"/>
      <c r="AO276" s="63">
        <v>5.8</v>
      </c>
      <c r="AP276" s="58">
        <v>1600</v>
      </c>
      <c r="AQ276" s="58">
        <v>330</v>
      </c>
      <c r="AR276" s="58">
        <v>330</v>
      </c>
      <c r="AS276" s="30">
        <v>15312</v>
      </c>
      <c r="AT276" s="30">
        <v>9280</v>
      </c>
      <c r="AU276" s="30">
        <v>24592</v>
      </c>
      <c r="AV276" s="197">
        <v>15312</v>
      </c>
      <c r="AW276" s="197"/>
      <c r="AX276" s="197">
        <v>15312</v>
      </c>
      <c r="AY276" s="202"/>
      <c r="AZ276" s="202"/>
      <c r="BA276" s="202">
        <v>0</v>
      </c>
      <c r="BB276" s="189" t="s">
        <v>277</v>
      </c>
      <c r="BC276" s="191"/>
      <c r="BD276" s="192">
        <v>3</v>
      </c>
      <c r="BE276" s="30"/>
      <c r="BF276" s="186"/>
      <c r="BG276" s="183"/>
      <c r="BH276" s="183"/>
    </row>
    <row r="277" spans="1:60" ht="30" hidden="1" customHeight="1">
      <c r="A277" s="115" t="s">
        <v>122</v>
      </c>
      <c r="B277" s="116" t="s">
        <v>1434</v>
      </c>
      <c r="C277" s="116" t="s">
        <v>1430</v>
      </c>
      <c r="D277" s="117" t="s">
        <v>1435</v>
      </c>
      <c r="E277" s="117" t="s">
        <v>274</v>
      </c>
      <c r="F277" s="117" t="s">
        <v>275</v>
      </c>
      <c r="G277" s="116" t="s">
        <v>1431</v>
      </c>
      <c r="H277" s="119"/>
      <c r="I277" s="118"/>
      <c r="J277" s="41" t="s">
        <v>110</v>
      </c>
      <c r="K277" s="5">
        <v>1</v>
      </c>
      <c r="L277" s="41" t="s">
        <v>110</v>
      </c>
      <c r="M277" s="5">
        <v>1</v>
      </c>
      <c r="N277" s="7" t="s">
        <v>115</v>
      </c>
      <c r="O277" s="7">
        <v>1</v>
      </c>
      <c r="P277" s="5" t="s">
        <v>111</v>
      </c>
      <c r="Q277" s="5"/>
      <c r="R277" s="5" t="s">
        <v>112</v>
      </c>
      <c r="S277" s="5">
        <v>2</v>
      </c>
      <c r="T277" s="5" t="s">
        <v>218</v>
      </c>
      <c r="U277" s="5" t="s">
        <v>219</v>
      </c>
      <c r="V277" s="5"/>
      <c r="W277" s="174">
        <v>45813</v>
      </c>
      <c r="X277" s="174">
        <v>45814</v>
      </c>
      <c r="Y277" s="5"/>
      <c r="Z277" s="3" t="s">
        <v>116</v>
      </c>
      <c r="AA277" s="2" t="s">
        <v>1432</v>
      </c>
      <c r="AB277" s="3" t="s">
        <v>118</v>
      </c>
      <c r="AC277" s="3" t="s">
        <v>1433</v>
      </c>
      <c r="AD277" s="50"/>
      <c r="AE277" s="50"/>
      <c r="AF277" s="12">
        <f t="shared" si="7"/>
        <v>72</v>
      </c>
      <c r="AG277" s="7">
        <v>80</v>
      </c>
      <c r="AH277" s="7"/>
      <c r="AI277" s="7">
        <v>40</v>
      </c>
      <c r="AJ277" s="7"/>
      <c r="AK277" s="7">
        <v>100</v>
      </c>
      <c r="AL277" s="7"/>
      <c r="AM277" s="7">
        <v>80</v>
      </c>
      <c r="AN277" s="7"/>
      <c r="AO277" s="63">
        <v>5.8</v>
      </c>
      <c r="AP277" s="58">
        <v>1600</v>
      </c>
      <c r="AQ277" s="58">
        <v>420</v>
      </c>
      <c r="AR277" s="58">
        <v>420</v>
      </c>
      <c r="AS277" s="30">
        <v>19488</v>
      </c>
      <c r="AT277" s="30">
        <v>9280</v>
      </c>
      <c r="AU277" s="30">
        <v>28768</v>
      </c>
      <c r="AV277" s="197">
        <v>19488</v>
      </c>
      <c r="AW277" s="197">
        <v>9280</v>
      </c>
      <c r="AX277" s="197">
        <v>28768</v>
      </c>
      <c r="AY277" s="202"/>
      <c r="AZ277" s="202"/>
      <c r="BA277" s="202">
        <v>0</v>
      </c>
      <c r="BB277" s="196" t="s">
        <v>1436</v>
      </c>
      <c r="BC277" s="191"/>
      <c r="BD277" s="192">
        <v>3</v>
      </c>
      <c r="BE277" s="30"/>
      <c r="BF277" s="186"/>
      <c r="BG277" s="183"/>
      <c r="BH277" s="183"/>
    </row>
    <row r="278" spans="1:60" ht="30" hidden="1" customHeight="1">
      <c r="A278" s="115" t="s">
        <v>1437</v>
      </c>
      <c r="B278" s="116" t="s">
        <v>1438</v>
      </c>
      <c r="C278" s="116" t="s">
        <v>1439</v>
      </c>
      <c r="D278" s="116"/>
      <c r="E278" s="117" t="s">
        <v>107</v>
      </c>
      <c r="F278" s="117" t="s">
        <v>108</v>
      </c>
      <c r="G278" s="116"/>
      <c r="H278" s="119"/>
      <c r="I278" s="118"/>
      <c r="J278" s="41" t="s">
        <v>110</v>
      </c>
      <c r="K278" s="5">
        <v>1</v>
      </c>
      <c r="L278" s="41" t="s">
        <v>110</v>
      </c>
      <c r="M278" s="5">
        <v>1</v>
      </c>
      <c r="N278" s="7"/>
      <c r="O278" s="7"/>
      <c r="P278" s="5" t="s">
        <v>111</v>
      </c>
      <c r="Q278" s="5"/>
      <c r="R278" s="5" t="s">
        <v>112</v>
      </c>
      <c r="S278" s="5">
        <v>4</v>
      </c>
      <c r="T278" s="5" t="s">
        <v>232</v>
      </c>
      <c r="U278" s="5"/>
      <c r="V278" s="5"/>
      <c r="W278" s="174">
        <v>45992</v>
      </c>
      <c r="X278" s="174">
        <v>45992</v>
      </c>
      <c r="Y278" s="5"/>
      <c r="Z278" s="3" t="s">
        <v>116</v>
      </c>
      <c r="AA278" s="2" t="s">
        <v>1440</v>
      </c>
      <c r="AB278" s="3" t="s">
        <v>118</v>
      </c>
      <c r="AC278" s="3" t="s">
        <v>119</v>
      </c>
      <c r="AD278" s="50"/>
      <c r="AE278" s="50"/>
      <c r="AF278" s="12">
        <f t="shared" si="7"/>
        <v>72</v>
      </c>
      <c r="AG278" s="7">
        <v>60</v>
      </c>
      <c r="AH278" s="7"/>
      <c r="AI278" s="7">
        <v>80</v>
      </c>
      <c r="AJ278" s="7"/>
      <c r="AK278" s="7">
        <v>80</v>
      </c>
      <c r="AL278" s="7"/>
      <c r="AM278" s="7">
        <v>80</v>
      </c>
      <c r="AN278" s="7"/>
      <c r="AO278" s="63">
        <v>5.8</v>
      </c>
      <c r="AP278" s="58">
        <v>1600</v>
      </c>
      <c r="AQ278" s="58">
        <v>390</v>
      </c>
      <c r="AR278" s="58">
        <f>PAI2025Planejamento[[#This Row],[DIÁRIA SOLICITADA]]</f>
        <v>390</v>
      </c>
      <c r="AS278" s="30">
        <v>15834</v>
      </c>
      <c r="AT278" s="30">
        <v>9280</v>
      </c>
      <c r="AU278" s="30">
        <v>25114</v>
      </c>
      <c r="AV278" s="197">
        <v>15834</v>
      </c>
      <c r="AW278" s="197">
        <v>9280</v>
      </c>
      <c r="AX278" s="197">
        <v>25114</v>
      </c>
      <c r="AY278" s="202"/>
      <c r="AZ278" s="202"/>
      <c r="BA278" s="202">
        <v>0</v>
      </c>
      <c r="BB278" s="189" t="s">
        <v>1361</v>
      </c>
      <c r="BC278" s="191"/>
      <c r="BD278" s="192">
        <v>3</v>
      </c>
      <c r="BE278" s="30"/>
      <c r="BF278" s="186"/>
      <c r="BG278" s="183"/>
      <c r="BH278" s="183"/>
    </row>
    <row r="279" spans="1:60" ht="30" hidden="1" customHeight="1">
      <c r="A279" s="115" t="s">
        <v>122</v>
      </c>
      <c r="B279" s="116" t="s">
        <v>1441</v>
      </c>
      <c r="C279" s="116" t="s">
        <v>1442</v>
      </c>
      <c r="D279" s="116"/>
      <c r="E279" s="117" t="s">
        <v>107</v>
      </c>
      <c r="F279" s="117" t="s">
        <v>108</v>
      </c>
      <c r="G279" s="116"/>
      <c r="H279" s="119"/>
      <c r="I279" s="118"/>
      <c r="J279" s="41" t="s">
        <v>110</v>
      </c>
      <c r="K279" s="5">
        <v>1</v>
      </c>
      <c r="L279" s="41" t="s">
        <v>110</v>
      </c>
      <c r="M279" s="5">
        <v>1</v>
      </c>
      <c r="N279" s="7"/>
      <c r="O279" s="7"/>
      <c r="P279" s="5" t="s">
        <v>111</v>
      </c>
      <c r="Q279" s="5"/>
      <c r="R279" s="5" t="s">
        <v>112</v>
      </c>
      <c r="S279" s="5"/>
      <c r="T279" s="5" t="s">
        <v>801</v>
      </c>
      <c r="U279" s="5"/>
      <c r="V279" s="5"/>
      <c r="W279" s="175">
        <v>45992</v>
      </c>
      <c r="X279" s="175">
        <v>45992</v>
      </c>
      <c r="Y279" s="5"/>
      <c r="Z279" s="3" t="s">
        <v>220</v>
      </c>
      <c r="AA279" s="2" t="s">
        <v>1443</v>
      </c>
      <c r="AB279" s="3" t="s">
        <v>118</v>
      </c>
      <c r="AC279" s="3" t="s">
        <v>119</v>
      </c>
      <c r="AD279" s="50"/>
      <c r="AE279" s="50"/>
      <c r="AF279" s="12">
        <f t="shared" si="7"/>
        <v>72</v>
      </c>
      <c r="AG279" s="7">
        <v>80</v>
      </c>
      <c r="AH279" s="7"/>
      <c r="AI279" s="7">
        <v>80</v>
      </c>
      <c r="AJ279" s="7"/>
      <c r="AK279" s="7">
        <v>40</v>
      </c>
      <c r="AL279" s="7"/>
      <c r="AM279" s="7">
        <v>80</v>
      </c>
      <c r="AN279" s="7"/>
      <c r="AO279" s="63">
        <v>5.8</v>
      </c>
      <c r="AP279" s="58">
        <v>1600</v>
      </c>
      <c r="AQ279" s="58">
        <v>420</v>
      </c>
      <c r="AR279" s="58">
        <v>420</v>
      </c>
      <c r="AS279" s="30">
        <v>7308</v>
      </c>
      <c r="AT279" s="30">
        <v>9280</v>
      </c>
      <c r="AU279" s="30">
        <v>16588</v>
      </c>
      <c r="AV279" s="197">
        <v>7308</v>
      </c>
      <c r="AW279" s="197">
        <v>9280</v>
      </c>
      <c r="AX279" s="197">
        <v>16588</v>
      </c>
      <c r="AY279" s="202"/>
      <c r="AZ279" s="202"/>
      <c r="BA279" s="202">
        <v>0</v>
      </c>
      <c r="BB279" s="189" t="s">
        <v>1444</v>
      </c>
      <c r="BC279" s="189"/>
      <c r="BD279" s="190">
        <v>3</v>
      </c>
      <c r="BE279" s="30" t="s">
        <v>803</v>
      </c>
      <c r="BF279" s="186"/>
      <c r="BG279" s="183"/>
      <c r="BH279" s="183"/>
    </row>
    <row r="280" spans="1:60" ht="30" hidden="1" customHeight="1">
      <c r="A280" s="115" t="s">
        <v>103</v>
      </c>
      <c r="B280" s="116" t="s">
        <v>1445</v>
      </c>
      <c r="C280" s="116" t="s">
        <v>1442</v>
      </c>
      <c r="D280" s="116"/>
      <c r="E280" s="117" t="s">
        <v>107</v>
      </c>
      <c r="F280" s="117" t="s">
        <v>108</v>
      </c>
      <c r="G280" s="116"/>
      <c r="H280" s="119"/>
      <c r="I280" s="118"/>
      <c r="J280" s="41" t="s">
        <v>110</v>
      </c>
      <c r="K280" s="5">
        <v>1</v>
      </c>
      <c r="L280" s="41" t="s">
        <v>110</v>
      </c>
      <c r="M280" s="5">
        <v>1</v>
      </c>
      <c r="N280" s="7"/>
      <c r="O280" s="7"/>
      <c r="P280" s="5" t="s">
        <v>111</v>
      </c>
      <c r="Q280" s="5"/>
      <c r="R280" s="5" t="s">
        <v>112</v>
      </c>
      <c r="S280" s="5"/>
      <c r="T280" s="5" t="s">
        <v>801</v>
      </c>
      <c r="U280" s="5"/>
      <c r="V280" s="5"/>
      <c r="W280" s="174">
        <v>45992</v>
      </c>
      <c r="X280" s="174">
        <v>45992</v>
      </c>
      <c r="Y280" s="5"/>
      <c r="Z280" s="3" t="s">
        <v>116</v>
      </c>
      <c r="AA280" s="3" t="s">
        <v>1446</v>
      </c>
      <c r="AB280" s="3" t="s">
        <v>118</v>
      </c>
      <c r="AC280" s="3" t="s">
        <v>700</v>
      </c>
      <c r="AD280" s="3"/>
      <c r="AE280" s="3"/>
      <c r="AF280" s="12">
        <f t="shared" si="7"/>
        <v>72</v>
      </c>
      <c r="AG280" s="7">
        <v>80</v>
      </c>
      <c r="AH280" s="7"/>
      <c r="AI280" s="7">
        <v>80</v>
      </c>
      <c r="AJ280" s="7"/>
      <c r="AK280" s="7">
        <v>40</v>
      </c>
      <c r="AL280" s="7"/>
      <c r="AM280" s="7">
        <v>80</v>
      </c>
      <c r="AN280" s="7"/>
      <c r="AO280" s="63">
        <v>5.8</v>
      </c>
      <c r="AP280" s="58">
        <v>1600</v>
      </c>
      <c r="AQ280" s="58">
        <v>420</v>
      </c>
      <c r="AR280" s="58">
        <v>420</v>
      </c>
      <c r="AS280" s="30">
        <v>7308</v>
      </c>
      <c r="AT280" s="30">
        <v>9280</v>
      </c>
      <c r="AU280" s="30">
        <v>16588</v>
      </c>
      <c r="AV280" s="197">
        <v>7308</v>
      </c>
      <c r="AW280" s="197">
        <v>9280</v>
      </c>
      <c r="AX280" s="197">
        <v>16588</v>
      </c>
      <c r="AY280" s="202"/>
      <c r="AZ280" s="202"/>
      <c r="BA280" s="202">
        <v>0</v>
      </c>
      <c r="BB280" s="189" t="s">
        <v>1444</v>
      </c>
      <c r="BC280" s="189"/>
      <c r="BD280" s="190">
        <v>3</v>
      </c>
      <c r="BE280" s="30" t="s">
        <v>803</v>
      </c>
      <c r="BF280" s="186"/>
      <c r="BG280" s="183"/>
      <c r="BH280" s="183"/>
    </row>
    <row r="281" spans="1:60" ht="30" hidden="1" customHeight="1">
      <c r="A281" s="115" t="s">
        <v>122</v>
      </c>
      <c r="B281" s="116" t="s">
        <v>1010</v>
      </c>
      <c r="C281" s="116" t="s">
        <v>1447</v>
      </c>
      <c r="D281" s="117" t="s">
        <v>490</v>
      </c>
      <c r="E281" s="117" t="s">
        <v>216</v>
      </c>
      <c r="F281" s="117" t="s">
        <v>217</v>
      </c>
      <c r="G281" s="116"/>
      <c r="H281" s="119"/>
      <c r="I281" s="117" t="s">
        <v>109</v>
      </c>
      <c r="J281" s="41" t="s">
        <v>110</v>
      </c>
      <c r="K281" s="5">
        <v>1</v>
      </c>
      <c r="L281" s="41" t="s">
        <v>110</v>
      </c>
      <c r="M281" s="5">
        <v>1</v>
      </c>
      <c r="N281" s="7" t="s">
        <v>115</v>
      </c>
      <c r="O281" s="7">
        <v>1</v>
      </c>
      <c r="P281" s="5" t="s">
        <v>111</v>
      </c>
      <c r="Q281" s="5">
        <v>1</v>
      </c>
      <c r="R281" s="5" t="s">
        <v>112</v>
      </c>
      <c r="S281" s="5">
        <v>5</v>
      </c>
      <c r="T281" s="5" t="s">
        <v>218</v>
      </c>
      <c r="U281" s="5" t="s">
        <v>219</v>
      </c>
      <c r="V281" s="5"/>
      <c r="W281" s="175">
        <v>45733</v>
      </c>
      <c r="X281" s="175">
        <v>45733</v>
      </c>
      <c r="Y281" s="5" t="s">
        <v>115</v>
      </c>
      <c r="Z281" s="3" t="s">
        <v>220</v>
      </c>
      <c r="AA281" s="3" t="s">
        <v>501</v>
      </c>
      <c r="AB281" s="3" t="s">
        <v>118</v>
      </c>
      <c r="AC281" s="3" t="s">
        <v>502</v>
      </c>
      <c r="AD281" s="3"/>
      <c r="AE281" s="3"/>
      <c r="AF281" s="12">
        <f t="shared" si="7"/>
        <v>72</v>
      </c>
      <c r="AG281" s="7">
        <v>80</v>
      </c>
      <c r="AH281" s="7"/>
      <c r="AI281" s="7">
        <v>80</v>
      </c>
      <c r="AJ281" s="7"/>
      <c r="AK281" s="7">
        <v>40</v>
      </c>
      <c r="AL281" s="7"/>
      <c r="AM281" s="7">
        <v>80</v>
      </c>
      <c r="AN281" s="7"/>
      <c r="AO281" s="63">
        <v>5.8</v>
      </c>
      <c r="AP281" s="58">
        <v>1600</v>
      </c>
      <c r="AQ281" s="58">
        <v>320</v>
      </c>
      <c r="AR281" s="58">
        <v>320</v>
      </c>
      <c r="AS281" s="30">
        <v>14848</v>
      </c>
      <c r="AT281" s="30"/>
      <c r="AU281" s="30">
        <v>24128</v>
      </c>
      <c r="AV281" s="197">
        <v>14848</v>
      </c>
      <c r="AW281" s="199"/>
      <c r="AX281" s="197">
        <v>24128</v>
      </c>
      <c r="AY281" s="202">
        <v>14678.99</v>
      </c>
      <c r="AZ281" s="202">
        <v>8619.9599999999991</v>
      </c>
      <c r="BA281" s="202">
        <v>14678.99</v>
      </c>
      <c r="BB281" s="189" t="s">
        <v>503</v>
      </c>
      <c r="BC281" s="189" t="s">
        <v>493</v>
      </c>
      <c r="BD281" s="41">
        <v>3</v>
      </c>
      <c r="BE281" s="30" t="s">
        <v>504</v>
      </c>
      <c r="BF281" s="186"/>
      <c r="BG281" s="183"/>
      <c r="BH281" s="183"/>
    </row>
    <row r="282" spans="1:60" ht="30" hidden="1" customHeight="1">
      <c r="A282" s="115" t="s">
        <v>1412</v>
      </c>
      <c r="B282" s="116" t="s">
        <v>1448</v>
      </c>
      <c r="C282" s="116" t="s">
        <v>442</v>
      </c>
      <c r="D282" s="116"/>
      <c r="E282" s="117" t="s">
        <v>107</v>
      </c>
      <c r="F282" s="117" t="s">
        <v>108</v>
      </c>
      <c r="G282" s="116"/>
      <c r="H282" s="119"/>
      <c r="I282" s="118"/>
      <c r="J282" s="41" t="s">
        <v>110</v>
      </c>
      <c r="K282" s="5">
        <v>1</v>
      </c>
      <c r="L282" s="41" t="s">
        <v>110</v>
      </c>
      <c r="M282" s="41">
        <v>1</v>
      </c>
      <c r="N282" s="39"/>
      <c r="O282" s="39"/>
      <c r="P282" s="5" t="s">
        <v>111</v>
      </c>
      <c r="Q282" s="41"/>
      <c r="R282" s="5" t="s">
        <v>112</v>
      </c>
      <c r="S282" s="5">
        <v>4</v>
      </c>
      <c r="T282" s="5" t="s">
        <v>801</v>
      </c>
      <c r="U282" s="41"/>
      <c r="V282" s="5"/>
      <c r="W282" s="174">
        <v>45992</v>
      </c>
      <c r="X282" s="174">
        <v>45992</v>
      </c>
      <c r="Y282" s="41"/>
      <c r="Z282" s="3" t="s">
        <v>141</v>
      </c>
      <c r="AA282" s="2" t="s">
        <v>1449</v>
      </c>
      <c r="AB282" s="3" t="s">
        <v>118</v>
      </c>
      <c r="AC282" s="3" t="s">
        <v>119</v>
      </c>
      <c r="AD282" s="50"/>
      <c r="AE282" s="50"/>
      <c r="AF282" s="12">
        <f t="shared" si="7"/>
        <v>72</v>
      </c>
      <c r="AG282" s="7">
        <v>80</v>
      </c>
      <c r="AH282" s="7"/>
      <c r="AI282" s="7">
        <v>80</v>
      </c>
      <c r="AJ282" s="7" t="s">
        <v>1450</v>
      </c>
      <c r="AK282" s="7">
        <v>40</v>
      </c>
      <c r="AL282" s="7"/>
      <c r="AM282" s="7">
        <v>80</v>
      </c>
      <c r="AN282" s="7"/>
      <c r="AO282" s="63">
        <v>5.8</v>
      </c>
      <c r="AP282" s="58">
        <v>1600</v>
      </c>
      <c r="AQ282" s="58">
        <v>390</v>
      </c>
      <c r="AR282" s="58">
        <v>390</v>
      </c>
      <c r="AS282" s="30">
        <v>15834</v>
      </c>
      <c r="AT282" s="30">
        <v>9280</v>
      </c>
      <c r="AU282" s="30">
        <v>25114</v>
      </c>
      <c r="AV282" s="197">
        <v>15834</v>
      </c>
      <c r="AW282" s="197">
        <v>9280</v>
      </c>
      <c r="AX282" s="197">
        <v>25114</v>
      </c>
      <c r="AY282" s="202"/>
      <c r="AZ282" s="202"/>
      <c r="BA282" s="202">
        <v>0</v>
      </c>
      <c r="BB282" s="189" t="s">
        <v>1401</v>
      </c>
      <c r="BC282" s="189"/>
      <c r="BD282" s="190">
        <v>3</v>
      </c>
      <c r="BE282" s="30"/>
      <c r="BF282" s="186"/>
      <c r="BG282" s="183"/>
      <c r="BH282" s="183"/>
    </row>
    <row r="283" spans="1:60" ht="30" hidden="1" customHeight="1">
      <c r="A283" s="115" t="s">
        <v>1451</v>
      </c>
      <c r="B283" s="116" t="s">
        <v>1452</v>
      </c>
      <c r="C283" s="116" t="s">
        <v>1453</v>
      </c>
      <c r="D283" s="116"/>
      <c r="E283" s="117" t="s">
        <v>176</v>
      </c>
      <c r="F283" s="117" t="s">
        <v>152</v>
      </c>
      <c r="G283" s="116" t="s">
        <v>1454</v>
      </c>
      <c r="H283" s="119"/>
      <c r="I283" s="118"/>
      <c r="J283" s="41" t="s">
        <v>110</v>
      </c>
      <c r="K283" s="5">
        <v>0</v>
      </c>
      <c r="L283" s="41" t="s">
        <v>110</v>
      </c>
      <c r="M283" s="41">
        <v>0</v>
      </c>
      <c r="N283" s="39"/>
      <c r="O283" s="39"/>
      <c r="P283" s="5" t="s">
        <v>111</v>
      </c>
      <c r="Q283" s="41"/>
      <c r="R283" s="5" t="s">
        <v>112</v>
      </c>
      <c r="S283" s="5">
        <v>10</v>
      </c>
      <c r="T283" s="41" t="s">
        <v>139</v>
      </c>
      <c r="U283" s="41"/>
      <c r="V283" s="5"/>
      <c r="W283" s="174">
        <v>45992</v>
      </c>
      <c r="X283" s="174">
        <v>45992</v>
      </c>
      <c r="Y283" s="41"/>
      <c r="Z283" s="3" t="s">
        <v>141</v>
      </c>
      <c r="AA283" s="3" t="s">
        <v>1455</v>
      </c>
      <c r="AB283" s="3" t="s">
        <v>118</v>
      </c>
      <c r="AC283" s="3"/>
      <c r="AD283" s="3"/>
      <c r="AE283" s="3"/>
      <c r="AF283" s="12">
        <f t="shared" si="7"/>
        <v>72</v>
      </c>
      <c r="AG283" s="7">
        <v>80</v>
      </c>
      <c r="AH283" s="7"/>
      <c r="AI283" s="7">
        <v>80</v>
      </c>
      <c r="AJ283" s="7"/>
      <c r="AK283" s="7">
        <v>40</v>
      </c>
      <c r="AL283" s="7"/>
      <c r="AM283" s="7">
        <v>80</v>
      </c>
      <c r="AN283" s="7"/>
      <c r="AO283" s="63">
        <v>5.8</v>
      </c>
      <c r="AP283" s="58">
        <v>1600</v>
      </c>
      <c r="AQ283" s="58">
        <v>370</v>
      </c>
      <c r="AR283" s="58">
        <v>370</v>
      </c>
      <c r="AS283" s="30">
        <v>0</v>
      </c>
      <c r="AT283" s="30">
        <v>0</v>
      </c>
      <c r="AU283" s="30">
        <v>0</v>
      </c>
      <c r="AV283" s="197">
        <v>0</v>
      </c>
      <c r="AW283" s="197">
        <v>0</v>
      </c>
      <c r="AX283" s="197">
        <v>0</v>
      </c>
      <c r="AY283" s="202"/>
      <c r="AZ283" s="202"/>
      <c r="BA283" s="202">
        <v>0</v>
      </c>
      <c r="BB283" s="189" t="s">
        <v>1456</v>
      </c>
      <c r="BC283" s="189"/>
      <c r="BD283" s="189">
        <v>3</v>
      </c>
      <c r="BE283" s="30" t="s">
        <v>182</v>
      </c>
      <c r="BF283" s="186"/>
      <c r="BG283" s="183"/>
      <c r="BH283" s="183"/>
    </row>
    <row r="284" spans="1:60" ht="30" hidden="1" customHeight="1">
      <c r="A284" s="41" t="s">
        <v>228</v>
      </c>
      <c r="B284" s="116" t="s">
        <v>1457</v>
      </c>
      <c r="C284" s="116" t="s">
        <v>105</v>
      </c>
      <c r="D284" s="116" t="s">
        <v>1458</v>
      </c>
      <c r="E284" s="117" t="s">
        <v>216</v>
      </c>
      <c r="F284" s="117" t="s">
        <v>217</v>
      </c>
      <c r="G284" s="116"/>
      <c r="H284" s="119"/>
      <c r="I284" s="118" t="s">
        <v>129</v>
      </c>
      <c r="J284" s="41" t="s">
        <v>110</v>
      </c>
      <c r="K284" s="41">
        <v>1</v>
      </c>
      <c r="L284" s="41" t="s">
        <v>110</v>
      </c>
      <c r="M284" s="41">
        <v>1</v>
      </c>
      <c r="N284" s="39" t="s">
        <v>115</v>
      </c>
      <c r="O284" s="39">
        <v>1</v>
      </c>
      <c r="P284" s="5" t="s">
        <v>111</v>
      </c>
      <c r="Q284" s="41">
        <v>1</v>
      </c>
      <c r="R284" s="5" t="s">
        <v>112</v>
      </c>
      <c r="S284" s="41">
        <v>4</v>
      </c>
      <c r="T284" s="41" t="s">
        <v>232</v>
      </c>
      <c r="U284" s="41" t="s">
        <v>233</v>
      </c>
      <c r="V284" s="41"/>
      <c r="W284" s="174">
        <v>45774</v>
      </c>
      <c r="X284" s="174">
        <v>45778</v>
      </c>
      <c r="Y284" s="41"/>
      <c r="Z284" s="42" t="s">
        <v>141</v>
      </c>
      <c r="AA284" s="42" t="s">
        <v>1459</v>
      </c>
      <c r="AB284" s="42" t="s">
        <v>118</v>
      </c>
      <c r="AC284" s="42" t="s">
        <v>1460</v>
      </c>
      <c r="AD284" s="42"/>
      <c r="AE284" s="42"/>
      <c r="AF284" s="12">
        <f t="shared" si="7"/>
        <v>72</v>
      </c>
      <c r="AG284" s="39">
        <v>80</v>
      </c>
      <c r="AH284" s="39" t="s">
        <v>1461</v>
      </c>
      <c r="AI284" s="39">
        <v>80</v>
      </c>
      <c r="AJ284" s="39" t="s">
        <v>1462</v>
      </c>
      <c r="AK284" s="39">
        <v>40</v>
      </c>
      <c r="AL284" s="39" t="s">
        <v>1463</v>
      </c>
      <c r="AM284" s="39">
        <v>80</v>
      </c>
      <c r="AN284" s="39"/>
      <c r="AO284" s="63">
        <v>5.8</v>
      </c>
      <c r="AP284" s="58">
        <v>1600</v>
      </c>
      <c r="AQ284" s="58">
        <v>390</v>
      </c>
      <c r="AR284" s="58">
        <v>390</v>
      </c>
      <c r="AS284" s="30">
        <v>15834</v>
      </c>
      <c r="AT284" s="30">
        <v>9280</v>
      </c>
      <c r="AU284" s="30">
        <v>25114</v>
      </c>
      <c r="AV284" s="197">
        <v>15834</v>
      </c>
      <c r="AW284" s="197">
        <v>9280</v>
      </c>
      <c r="AX284" s="197">
        <v>25114</v>
      </c>
      <c r="AY284" s="203">
        <v>9021.9699999999993</v>
      </c>
      <c r="AZ284" s="203">
        <v>22401.17</v>
      </c>
      <c r="BA284" s="203">
        <f>9021.97+22401.17</f>
        <v>31423.14</v>
      </c>
      <c r="BB284" s="41" t="s">
        <v>1464</v>
      </c>
      <c r="BC284" s="191" t="s">
        <v>1465</v>
      </c>
      <c r="BD284" s="189">
        <v>3</v>
      </c>
      <c r="BE284" s="30" t="s">
        <v>1411</v>
      </c>
      <c r="BF284" s="186"/>
      <c r="BG284" s="183"/>
      <c r="BH284" s="183"/>
    </row>
    <row r="285" spans="1:60" ht="30" hidden="1" customHeight="1">
      <c r="A285" s="41" t="s">
        <v>228</v>
      </c>
      <c r="B285" s="116" t="s">
        <v>1466</v>
      </c>
      <c r="C285" s="116" t="s">
        <v>1467</v>
      </c>
      <c r="D285" s="116"/>
      <c r="E285" s="117" t="s">
        <v>216</v>
      </c>
      <c r="F285" s="117" t="s">
        <v>217</v>
      </c>
      <c r="G285" s="116"/>
      <c r="H285" s="119"/>
      <c r="I285" s="118"/>
      <c r="J285" s="41" t="s">
        <v>110</v>
      </c>
      <c r="K285" s="41">
        <v>1</v>
      </c>
      <c r="L285" s="41" t="s">
        <v>110</v>
      </c>
      <c r="M285" s="41">
        <v>1</v>
      </c>
      <c r="N285" s="39" t="s">
        <v>115</v>
      </c>
      <c r="O285" s="39">
        <v>1</v>
      </c>
      <c r="P285" s="5" t="s">
        <v>111</v>
      </c>
      <c r="Q285" s="41"/>
      <c r="R285" s="5" t="s">
        <v>112</v>
      </c>
      <c r="S285" s="41">
        <v>4</v>
      </c>
      <c r="T285" s="41" t="s">
        <v>801</v>
      </c>
      <c r="U285" s="41"/>
      <c r="V285" s="41"/>
      <c r="W285" s="174">
        <v>45992</v>
      </c>
      <c r="X285" s="174">
        <v>45992</v>
      </c>
      <c r="Y285" s="41"/>
      <c r="Z285" s="42" t="s">
        <v>141</v>
      </c>
      <c r="AA285" s="42" t="s">
        <v>1459</v>
      </c>
      <c r="AB285" s="42" t="s">
        <v>118</v>
      </c>
      <c r="AC285" s="42" t="s">
        <v>1460</v>
      </c>
      <c r="AD285" s="42"/>
      <c r="AE285" s="42"/>
      <c r="AF285" s="12">
        <f t="shared" si="7"/>
        <v>72</v>
      </c>
      <c r="AG285" s="7">
        <v>80</v>
      </c>
      <c r="AH285" s="7" t="s">
        <v>1461</v>
      </c>
      <c r="AI285" s="7">
        <v>80</v>
      </c>
      <c r="AJ285" s="7" t="s">
        <v>1462</v>
      </c>
      <c r="AK285" s="7">
        <v>40</v>
      </c>
      <c r="AL285" s="7" t="s">
        <v>1463</v>
      </c>
      <c r="AM285" s="7">
        <v>80</v>
      </c>
      <c r="AN285" s="7"/>
      <c r="AO285" s="63">
        <v>5.8</v>
      </c>
      <c r="AP285" s="58">
        <v>1600</v>
      </c>
      <c r="AQ285" s="58">
        <v>390</v>
      </c>
      <c r="AR285" s="58">
        <v>390</v>
      </c>
      <c r="AS285" s="30">
        <v>15834</v>
      </c>
      <c r="AT285" s="30">
        <v>9280</v>
      </c>
      <c r="AU285" s="30">
        <v>25114</v>
      </c>
      <c r="AV285" s="197">
        <v>15834</v>
      </c>
      <c r="AW285" s="197">
        <v>9280</v>
      </c>
      <c r="AX285" s="197">
        <v>25114</v>
      </c>
      <c r="AY285" s="203"/>
      <c r="AZ285" s="203"/>
      <c r="BA285" s="203">
        <v>0</v>
      </c>
      <c r="BB285" s="41" t="s">
        <v>1464</v>
      </c>
      <c r="BC285" s="191"/>
      <c r="BD285" s="189">
        <v>3</v>
      </c>
      <c r="BE285" s="30" t="s">
        <v>1411</v>
      </c>
      <c r="BF285" s="186"/>
      <c r="BG285" s="183"/>
      <c r="BH285" s="183"/>
    </row>
    <row r="286" spans="1:60" ht="30" hidden="1" customHeight="1">
      <c r="A286" s="115" t="s">
        <v>476</v>
      </c>
      <c r="B286" s="116" t="s">
        <v>1468</v>
      </c>
      <c r="C286" s="116" t="s">
        <v>340</v>
      </c>
      <c r="D286" s="116"/>
      <c r="E286" s="117" t="s">
        <v>216</v>
      </c>
      <c r="F286" s="117" t="s">
        <v>217</v>
      </c>
      <c r="G286" s="116" t="s">
        <v>513</v>
      </c>
      <c r="H286" s="119"/>
      <c r="I286" s="118"/>
      <c r="J286" s="41" t="s">
        <v>110</v>
      </c>
      <c r="K286" s="5">
        <v>4</v>
      </c>
      <c r="L286" s="41" t="s">
        <v>110</v>
      </c>
      <c r="M286" s="5">
        <v>2</v>
      </c>
      <c r="N286" s="7" t="s">
        <v>115</v>
      </c>
      <c r="O286" s="7">
        <v>1</v>
      </c>
      <c r="P286" s="5" t="s">
        <v>111</v>
      </c>
      <c r="Q286" s="5"/>
      <c r="R286" s="5" t="s">
        <v>112</v>
      </c>
      <c r="S286" s="5">
        <v>5</v>
      </c>
      <c r="T286" s="5" t="s">
        <v>139</v>
      </c>
      <c r="U286" s="5"/>
      <c r="V286" s="5"/>
      <c r="W286" s="175">
        <v>45992</v>
      </c>
      <c r="X286" s="175">
        <v>45992</v>
      </c>
      <c r="Y286" s="5"/>
      <c r="Z286" s="3" t="s">
        <v>141</v>
      </c>
      <c r="AA286" s="3" t="s">
        <v>1469</v>
      </c>
      <c r="AB286" s="3" t="s">
        <v>517</v>
      </c>
      <c r="AC286" s="3"/>
      <c r="AD286" s="3"/>
      <c r="AE286" s="3"/>
      <c r="AF286" s="12">
        <f t="shared" si="7"/>
        <v>72</v>
      </c>
      <c r="AG286" s="7">
        <v>60</v>
      </c>
      <c r="AH286" s="7" t="s">
        <v>1470</v>
      </c>
      <c r="AI286" s="7">
        <v>80</v>
      </c>
      <c r="AJ286" s="7" t="s">
        <v>1471</v>
      </c>
      <c r="AK286" s="7">
        <v>80</v>
      </c>
      <c r="AL286" s="7" t="s">
        <v>1472</v>
      </c>
      <c r="AM286" s="7">
        <v>80</v>
      </c>
      <c r="AN286" s="7"/>
      <c r="AO286" s="63">
        <v>5.8</v>
      </c>
      <c r="AP286" s="58">
        <v>1600</v>
      </c>
      <c r="AQ286" s="58">
        <v>420</v>
      </c>
      <c r="AR286" s="58">
        <v>420</v>
      </c>
      <c r="AS286" s="30">
        <v>77952</v>
      </c>
      <c r="AT286" s="30">
        <v>37120</v>
      </c>
      <c r="AU286" s="30">
        <v>115072</v>
      </c>
      <c r="AV286" s="197">
        <v>38976</v>
      </c>
      <c r="AW286" s="197">
        <v>18560</v>
      </c>
      <c r="AX286" s="197">
        <v>57536</v>
      </c>
      <c r="AY286" s="202"/>
      <c r="AZ286" s="202"/>
      <c r="BA286" s="202">
        <v>0</v>
      </c>
      <c r="BB286" s="189" t="s">
        <v>1473</v>
      </c>
      <c r="BC286" s="189"/>
      <c r="BD286" s="189">
        <v>3</v>
      </c>
      <c r="BE286" s="30" t="s">
        <v>1474</v>
      </c>
      <c r="BF286" s="186"/>
      <c r="BG286" s="183"/>
      <c r="BH286" s="183"/>
    </row>
    <row r="287" spans="1:60" ht="30" hidden="1" customHeight="1">
      <c r="A287" s="115" t="s">
        <v>122</v>
      </c>
      <c r="B287" s="116" t="s">
        <v>1475</v>
      </c>
      <c r="C287" s="116" t="s">
        <v>1476</v>
      </c>
      <c r="D287" s="116" t="s">
        <v>1477</v>
      </c>
      <c r="E287" s="117" t="s">
        <v>402</v>
      </c>
      <c r="F287" s="117" t="s">
        <v>396</v>
      </c>
      <c r="G287" s="116" t="s">
        <v>1478</v>
      </c>
      <c r="H287" s="119" t="s">
        <v>591</v>
      </c>
      <c r="I287" s="118" t="s">
        <v>341</v>
      </c>
      <c r="J287" s="41" t="s">
        <v>110</v>
      </c>
      <c r="K287" s="5">
        <v>1</v>
      </c>
      <c r="L287" s="41" t="s">
        <v>110</v>
      </c>
      <c r="M287" s="5">
        <v>1</v>
      </c>
      <c r="N287" s="7" t="s">
        <v>115</v>
      </c>
      <c r="O287" s="7">
        <v>2</v>
      </c>
      <c r="P287" s="5" t="s">
        <v>111</v>
      </c>
      <c r="Q287" s="5">
        <v>1</v>
      </c>
      <c r="R287" s="5" t="s">
        <v>112</v>
      </c>
      <c r="S287" s="5">
        <v>4</v>
      </c>
      <c r="T287" s="5" t="s">
        <v>218</v>
      </c>
      <c r="U287" s="5" t="s">
        <v>219</v>
      </c>
      <c r="V287" s="5"/>
      <c r="W287" s="175">
        <v>45811</v>
      </c>
      <c r="X287" s="175">
        <v>45814</v>
      </c>
      <c r="Y287" s="5"/>
      <c r="Z287" s="42" t="s">
        <v>1479</v>
      </c>
      <c r="AA287" s="42" t="s">
        <v>1479</v>
      </c>
      <c r="AB287" s="42" t="s">
        <v>1125</v>
      </c>
      <c r="AC287" s="42"/>
      <c r="AD287" s="42"/>
      <c r="AE287" s="42"/>
      <c r="AF287" s="12">
        <f t="shared" si="7"/>
        <v>72</v>
      </c>
      <c r="AG287" s="39">
        <v>80</v>
      </c>
      <c r="AH287" s="39"/>
      <c r="AI287" s="39">
        <v>80</v>
      </c>
      <c r="AJ287" s="39"/>
      <c r="AK287" s="39">
        <v>40</v>
      </c>
      <c r="AL287" s="39"/>
      <c r="AM287" s="39">
        <v>80</v>
      </c>
      <c r="AN287" s="39"/>
      <c r="AO287" s="63">
        <v>5.8</v>
      </c>
      <c r="AP287" s="58">
        <v>1600</v>
      </c>
      <c r="AQ287" s="58">
        <v>350</v>
      </c>
      <c r="AR287" s="58">
        <v>350</v>
      </c>
      <c r="AS287" s="30">
        <v>12180</v>
      </c>
      <c r="AT287" s="30">
        <v>9280</v>
      </c>
      <c r="AU287" s="30">
        <v>21460</v>
      </c>
      <c r="AV287" s="197"/>
      <c r="AW287" s="197"/>
      <c r="AX287" s="197"/>
      <c r="AY287" s="202">
        <v>9406.9500000000007</v>
      </c>
      <c r="AZ287" s="202"/>
      <c r="BA287" s="202">
        <v>9406.9500000000007</v>
      </c>
      <c r="BB287" s="5" t="s">
        <v>1126</v>
      </c>
      <c r="BC287" s="41" t="s">
        <v>1480</v>
      </c>
      <c r="BD287" s="192">
        <v>3</v>
      </c>
      <c r="BE287" s="30"/>
      <c r="BF287" s="186"/>
      <c r="BG287" s="183"/>
      <c r="BH287" s="183"/>
    </row>
    <row r="288" spans="1:60" ht="30" hidden="1" customHeight="1">
      <c r="A288" s="115" t="s">
        <v>1481</v>
      </c>
      <c r="B288" s="116" t="s">
        <v>1482</v>
      </c>
      <c r="C288" s="116" t="s">
        <v>1481</v>
      </c>
      <c r="D288" s="116"/>
      <c r="E288" s="117" t="s">
        <v>216</v>
      </c>
      <c r="F288" s="117" t="s">
        <v>217</v>
      </c>
      <c r="G288" s="116" t="s">
        <v>1483</v>
      </c>
      <c r="H288" s="119"/>
      <c r="I288" s="118"/>
      <c r="J288" s="41" t="s">
        <v>110</v>
      </c>
      <c r="K288" s="5">
        <v>0</v>
      </c>
      <c r="L288" s="41" t="s">
        <v>110</v>
      </c>
      <c r="M288" s="5">
        <v>0</v>
      </c>
      <c r="N288" s="7" t="s">
        <v>115</v>
      </c>
      <c r="O288" s="7">
        <v>0</v>
      </c>
      <c r="P288" s="5" t="s">
        <v>111</v>
      </c>
      <c r="Q288" s="5"/>
      <c r="R288" s="5" t="s">
        <v>130</v>
      </c>
      <c r="S288" s="5">
        <v>2</v>
      </c>
      <c r="T288" s="117" t="s">
        <v>130</v>
      </c>
      <c r="U288" s="117"/>
      <c r="V288" s="5"/>
      <c r="W288" s="174">
        <v>45992</v>
      </c>
      <c r="X288" s="174">
        <v>45992</v>
      </c>
      <c r="Y288" s="117"/>
      <c r="Z288" s="42" t="s">
        <v>141</v>
      </c>
      <c r="AA288" s="42" t="s">
        <v>516</v>
      </c>
      <c r="AB288" s="42" t="s">
        <v>517</v>
      </c>
      <c r="AC288" s="42" t="s">
        <v>518</v>
      </c>
      <c r="AD288" s="42"/>
      <c r="AE288" s="42"/>
      <c r="AF288" s="12">
        <f t="shared" si="7"/>
        <v>72</v>
      </c>
      <c r="AG288" s="39">
        <v>80</v>
      </c>
      <c r="AH288" s="39"/>
      <c r="AI288" s="39">
        <v>40</v>
      </c>
      <c r="AJ288" s="39"/>
      <c r="AK288" s="39">
        <v>100</v>
      </c>
      <c r="AL288" s="39"/>
      <c r="AM288" s="39">
        <v>80</v>
      </c>
      <c r="AN288" s="39"/>
      <c r="AO288" s="63">
        <v>5.8</v>
      </c>
      <c r="AP288" s="58">
        <v>0</v>
      </c>
      <c r="AQ288" s="58">
        <v>0</v>
      </c>
      <c r="AR288" s="58">
        <v>0</v>
      </c>
      <c r="AS288" s="30">
        <v>0</v>
      </c>
      <c r="AT288" s="30">
        <v>0</v>
      </c>
      <c r="AU288" s="30">
        <v>0</v>
      </c>
      <c r="AV288" s="197">
        <v>0</v>
      </c>
      <c r="AW288" s="197">
        <v>0</v>
      </c>
      <c r="AX288" s="197">
        <v>0</v>
      </c>
      <c r="AY288" s="202"/>
      <c r="AZ288" s="202"/>
      <c r="BA288" s="202">
        <v>0</v>
      </c>
      <c r="BB288" s="5" t="s">
        <v>1082</v>
      </c>
      <c r="BC288" s="41"/>
      <c r="BD288" s="41">
        <v>0</v>
      </c>
      <c r="BE288" s="30" t="s">
        <v>1484</v>
      </c>
      <c r="BF288" s="186"/>
      <c r="BG288" s="183"/>
      <c r="BH288" s="183"/>
    </row>
    <row r="289" spans="1:60" ht="30" hidden="1" customHeight="1">
      <c r="A289" s="115" t="s">
        <v>1481</v>
      </c>
      <c r="B289" s="116" t="s">
        <v>1485</v>
      </c>
      <c r="C289" s="116" t="s">
        <v>1481</v>
      </c>
      <c r="D289" s="116"/>
      <c r="E289" s="117" t="s">
        <v>216</v>
      </c>
      <c r="F289" s="117" t="s">
        <v>217</v>
      </c>
      <c r="G289" s="116" t="s">
        <v>1483</v>
      </c>
      <c r="H289" s="119"/>
      <c r="I289" s="118"/>
      <c r="J289" s="41" t="s">
        <v>110</v>
      </c>
      <c r="K289" s="5">
        <v>0</v>
      </c>
      <c r="L289" s="41" t="s">
        <v>110</v>
      </c>
      <c r="M289" s="5">
        <v>0</v>
      </c>
      <c r="N289" s="7" t="s">
        <v>115</v>
      </c>
      <c r="O289" s="7">
        <v>0</v>
      </c>
      <c r="P289" s="5" t="s">
        <v>111</v>
      </c>
      <c r="Q289" s="5"/>
      <c r="R289" s="5" t="s">
        <v>130</v>
      </c>
      <c r="S289" s="5">
        <v>2</v>
      </c>
      <c r="T289" s="117" t="s">
        <v>130</v>
      </c>
      <c r="U289" s="117"/>
      <c r="V289" s="5"/>
      <c r="W289" s="174">
        <v>45992</v>
      </c>
      <c r="X289" s="174">
        <v>45992</v>
      </c>
      <c r="Y289" s="5"/>
      <c r="Z289" s="3" t="s">
        <v>141</v>
      </c>
      <c r="AA289" s="3" t="s">
        <v>516</v>
      </c>
      <c r="AB289" s="3" t="s">
        <v>517</v>
      </c>
      <c r="AC289" s="3" t="s">
        <v>518</v>
      </c>
      <c r="AD289" s="3"/>
      <c r="AE289" s="3"/>
      <c r="AF289" s="12">
        <f t="shared" si="7"/>
        <v>72</v>
      </c>
      <c r="AG289" s="7">
        <v>80</v>
      </c>
      <c r="AH289" s="7"/>
      <c r="AI289" s="7">
        <v>40</v>
      </c>
      <c r="AJ289" s="7"/>
      <c r="AK289" s="7">
        <v>100</v>
      </c>
      <c r="AL289" s="7"/>
      <c r="AM289" s="7">
        <v>80</v>
      </c>
      <c r="AN289" s="7"/>
      <c r="AO289" s="63">
        <v>5.8</v>
      </c>
      <c r="AP289" s="58">
        <v>0</v>
      </c>
      <c r="AQ289" s="58">
        <v>0</v>
      </c>
      <c r="AR289" s="58">
        <v>0</v>
      </c>
      <c r="AS289" s="30">
        <v>0</v>
      </c>
      <c r="AT289" s="30">
        <v>0</v>
      </c>
      <c r="AU289" s="30">
        <v>0</v>
      </c>
      <c r="AV289" s="197">
        <v>0</v>
      </c>
      <c r="AW289" s="197">
        <v>0</v>
      </c>
      <c r="AX289" s="197">
        <v>0</v>
      </c>
      <c r="AY289" s="202"/>
      <c r="AZ289" s="202"/>
      <c r="BA289" s="202">
        <v>0</v>
      </c>
      <c r="BB289" s="5" t="s">
        <v>1082</v>
      </c>
      <c r="BC289" s="41"/>
      <c r="BD289" s="41">
        <v>0</v>
      </c>
      <c r="BE289" s="30" t="s">
        <v>1484</v>
      </c>
      <c r="BF289" s="186"/>
      <c r="BG289" s="183"/>
      <c r="BH289" s="183"/>
    </row>
    <row r="290" spans="1:60" ht="30" hidden="1" customHeight="1">
      <c r="A290" s="115" t="s">
        <v>122</v>
      </c>
      <c r="B290" s="119" t="s">
        <v>1486</v>
      </c>
      <c r="C290" s="116" t="s">
        <v>1487</v>
      </c>
      <c r="D290" s="116"/>
      <c r="E290" s="117" t="s">
        <v>126</v>
      </c>
      <c r="F290" s="117" t="s">
        <v>152</v>
      </c>
      <c r="G290" s="116" t="s">
        <v>1488</v>
      </c>
      <c r="H290" s="119"/>
      <c r="I290" s="118"/>
      <c r="J290" s="41" t="s">
        <v>110</v>
      </c>
      <c r="K290" s="5">
        <v>1</v>
      </c>
      <c r="L290" s="41" t="s">
        <v>110</v>
      </c>
      <c r="M290" s="5">
        <v>1</v>
      </c>
      <c r="N290" s="7"/>
      <c r="O290" s="7"/>
      <c r="P290" s="5" t="s">
        <v>111</v>
      </c>
      <c r="Q290" s="5"/>
      <c r="R290" s="5" t="s">
        <v>112</v>
      </c>
      <c r="S290" s="5">
        <v>4</v>
      </c>
      <c r="T290" s="5" t="s">
        <v>218</v>
      </c>
      <c r="U290" s="5"/>
      <c r="V290" s="5"/>
      <c r="W290" s="174">
        <v>45992</v>
      </c>
      <c r="X290" s="174">
        <v>45992</v>
      </c>
      <c r="Y290" s="5"/>
      <c r="Z290" s="3" t="s">
        <v>116</v>
      </c>
      <c r="AA290" s="3" t="s">
        <v>1489</v>
      </c>
      <c r="AB290" s="3" t="s">
        <v>496</v>
      </c>
      <c r="AC290" s="3"/>
      <c r="AD290" s="3"/>
      <c r="AE290" s="3"/>
      <c r="AF290" s="12">
        <f t="shared" si="7"/>
        <v>72</v>
      </c>
      <c r="AG290" s="7">
        <v>80</v>
      </c>
      <c r="AH290" s="7"/>
      <c r="AI290" s="7">
        <v>80</v>
      </c>
      <c r="AJ290" s="7"/>
      <c r="AK290" s="7">
        <v>40</v>
      </c>
      <c r="AL290" s="7"/>
      <c r="AM290" s="7">
        <v>80</v>
      </c>
      <c r="AN290" s="7"/>
      <c r="AO290" s="63">
        <v>5.8</v>
      </c>
      <c r="AP290" s="58">
        <v>1600</v>
      </c>
      <c r="AQ290" s="58">
        <v>320</v>
      </c>
      <c r="AR290" s="58">
        <v>320</v>
      </c>
      <c r="AS290" s="30">
        <v>12992</v>
      </c>
      <c r="AT290" s="30">
        <v>9280</v>
      </c>
      <c r="AU290" s="30">
        <v>22272</v>
      </c>
      <c r="AV290" s="197">
        <v>12992</v>
      </c>
      <c r="AW290" s="197">
        <v>9280</v>
      </c>
      <c r="AX290" s="197">
        <v>22272</v>
      </c>
      <c r="AY290" s="202"/>
      <c r="AZ290" s="202"/>
      <c r="BA290" s="202">
        <v>0</v>
      </c>
      <c r="BB290" s="5" t="s">
        <v>1490</v>
      </c>
      <c r="BC290" s="41"/>
      <c r="BD290" s="41">
        <v>3</v>
      </c>
      <c r="BE290" s="30"/>
      <c r="BF290" s="186"/>
      <c r="BG290" s="183"/>
      <c r="BH290" s="183"/>
    </row>
    <row r="291" spans="1:60" ht="30" hidden="1" customHeight="1">
      <c r="A291" s="115" t="s">
        <v>122</v>
      </c>
      <c r="B291" s="116" t="s">
        <v>1491</v>
      </c>
      <c r="C291" s="116" t="s">
        <v>1492</v>
      </c>
      <c r="D291" s="116"/>
      <c r="E291" s="117" t="s">
        <v>126</v>
      </c>
      <c r="F291" s="117" t="s">
        <v>127</v>
      </c>
      <c r="G291" s="116" t="s">
        <v>1493</v>
      </c>
      <c r="H291" s="119"/>
      <c r="I291" s="118"/>
      <c r="J291" s="41" t="s">
        <v>110</v>
      </c>
      <c r="K291" s="5">
        <v>0</v>
      </c>
      <c r="L291" s="41" t="s">
        <v>110</v>
      </c>
      <c r="M291" s="5">
        <v>0</v>
      </c>
      <c r="N291" s="7" t="s">
        <v>115</v>
      </c>
      <c r="O291" s="7">
        <v>0</v>
      </c>
      <c r="P291" s="5" t="s">
        <v>111</v>
      </c>
      <c r="Q291" s="5"/>
      <c r="R291" s="5" t="s">
        <v>130</v>
      </c>
      <c r="S291" s="5">
        <v>3</v>
      </c>
      <c r="T291" s="5" t="s">
        <v>130</v>
      </c>
      <c r="U291" s="5"/>
      <c r="V291" s="5"/>
      <c r="W291" s="174">
        <v>45992</v>
      </c>
      <c r="X291" s="174">
        <v>45992</v>
      </c>
      <c r="Y291" s="5"/>
      <c r="Z291" s="3" t="s">
        <v>116</v>
      </c>
      <c r="AA291" s="3" t="s">
        <v>1494</v>
      </c>
      <c r="AB291" s="3" t="s">
        <v>118</v>
      </c>
      <c r="AC291" s="3"/>
      <c r="AD291" s="3"/>
      <c r="AE291" s="3"/>
      <c r="AF291" s="12">
        <f t="shared" si="7"/>
        <v>72</v>
      </c>
      <c r="AG291" s="7">
        <v>80</v>
      </c>
      <c r="AH291" s="7"/>
      <c r="AI291" s="7">
        <v>80</v>
      </c>
      <c r="AJ291" s="7" t="s">
        <v>1495</v>
      </c>
      <c r="AK291" s="7">
        <v>40</v>
      </c>
      <c r="AL291" s="7"/>
      <c r="AM291" s="7">
        <v>80</v>
      </c>
      <c r="AN291" s="7"/>
      <c r="AO291" s="63">
        <v>5.8</v>
      </c>
      <c r="AP291" s="58">
        <v>0</v>
      </c>
      <c r="AQ291" s="58">
        <v>0</v>
      </c>
      <c r="AR291" s="58">
        <v>0</v>
      </c>
      <c r="AS291" s="30">
        <v>0</v>
      </c>
      <c r="AT291" s="30">
        <v>0</v>
      </c>
      <c r="AU291" s="30">
        <v>0</v>
      </c>
      <c r="AV291" s="197">
        <v>0</v>
      </c>
      <c r="AW291" s="197">
        <v>0</v>
      </c>
      <c r="AX291" s="197">
        <v>0</v>
      </c>
      <c r="AY291" s="202"/>
      <c r="AZ291" s="202"/>
      <c r="BA291" s="202">
        <v>0</v>
      </c>
      <c r="BB291" s="5" t="s">
        <v>799</v>
      </c>
      <c r="BC291" s="41"/>
      <c r="BD291" s="41">
        <v>0</v>
      </c>
      <c r="BE291" s="30"/>
      <c r="BF291" s="186"/>
      <c r="BG291" s="183"/>
      <c r="BH291" s="183"/>
    </row>
    <row r="292" spans="1:60" ht="30" hidden="1" customHeight="1">
      <c r="A292" s="115" t="s">
        <v>1293</v>
      </c>
      <c r="B292" s="116" t="s">
        <v>1496</v>
      </c>
      <c r="C292" s="116" t="s">
        <v>1497</v>
      </c>
      <c r="D292" s="116"/>
      <c r="E292" s="117" t="s">
        <v>434</v>
      </c>
      <c r="F292" s="117" t="s">
        <v>166</v>
      </c>
      <c r="G292" s="116" t="s">
        <v>1498</v>
      </c>
      <c r="H292" s="119"/>
      <c r="I292" s="118"/>
      <c r="J292" s="41" t="s">
        <v>110</v>
      </c>
      <c r="K292" s="5">
        <v>1</v>
      </c>
      <c r="L292" s="41" t="s">
        <v>110</v>
      </c>
      <c r="M292" s="5">
        <v>1</v>
      </c>
      <c r="N292" s="7" t="s">
        <v>115</v>
      </c>
      <c r="O292" s="7">
        <v>1</v>
      </c>
      <c r="P292" s="5" t="s">
        <v>111</v>
      </c>
      <c r="Q292" s="5"/>
      <c r="R292" s="5" t="s">
        <v>112</v>
      </c>
      <c r="S292" s="5">
        <v>3</v>
      </c>
      <c r="T292" s="41" t="s">
        <v>801</v>
      </c>
      <c r="U292" s="41"/>
      <c r="V292" s="115"/>
      <c r="W292" s="174">
        <v>45992</v>
      </c>
      <c r="X292" s="174">
        <v>45992</v>
      </c>
      <c r="Y292" s="115"/>
      <c r="Z292" s="3" t="s">
        <v>524</v>
      </c>
      <c r="AA292" s="2" t="s">
        <v>1499</v>
      </c>
      <c r="AB292" s="3" t="s">
        <v>345</v>
      </c>
      <c r="AC292" s="3" t="s">
        <v>562</v>
      </c>
      <c r="AD292" s="50"/>
      <c r="AE292" s="50"/>
      <c r="AF292" s="12">
        <f t="shared" si="7"/>
        <v>70</v>
      </c>
      <c r="AG292" s="7">
        <v>60</v>
      </c>
      <c r="AH292" s="7"/>
      <c r="AI292" s="7">
        <v>80</v>
      </c>
      <c r="AJ292" s="7" t="s">
        <v>1500</v>
      </c>
      <c r="AK292" s="7">
        <v>80</v>
      </c>
      <c r="AL292" s="7" t="s">
        <v>1501</v>
      </c>
      <c r="AM292" s="7">
        <v>60</v>
      </c>
      <c r="AN292" s="7" t="s">
        <v>857</v>
      </c>
      <c r="AO292" s="63">
        <v>5.8</v>
      </c>
      <c r="AP292" s="58">
        <v>1600</v>
      </c>
      <c r="AQ292" s="58">
        <v>460</v>
      </c>
      <c r="AR292" s="58">
        <v>460</v>
      </c>
      <c r="AS292" s="30">
        <v>16008</v>
      </c>
      <c r="AT292" s="30">
        <v>9280</v>
      </c>
      <c r="AU292" s="30">
        <v>25288</v>
      </c>
      <c r="AV292" s="197">
        <v>16008</v>
      </c>
      <c r="AW292" s="197">
        <v>9280</v>
      </c>
      <c r="AX292" s="197">
        <v>25288</v>
      </c>
      <c r="AY292" s="202"/>
      <c r="AZ292" s="202"/>
      <c r="BA292" s="202">
        <v>0</v>
      </c>
      <c r="BB292" s="5" t="s">
        <v>1502</v>
      </c>
      <c r="BC292" s="189"/>
      <c r="BD292" s="190">
        <v>3</v>
      </c>
      <c r="BE292" s="30"/>
      <c r="BF292" s="186"/>
      <c r="BG292" s="183"/>
      <c r="BH292" s="183"/>
    </row>
    <row r="293" spans="1:60" ht="30" hidden="1" customHeight="1">
      <c r="A293" s="115" t="s">
        <v>248</v>
      </c>
      <c r="B293" s="116" t="s">
        <v>1503</v>
      </c>
      <c r="C293" s="116" t="s">
        <v>1504</v>
      </c>
      <c r="D293" s="116"/>
      <c r="E293" s="117" t="s">
        <v>1505</v>
      </c>
      <c r="F293" s="117" t="s">
        <v>340</v>
      </c>
      <c r="G293" s="116" t="s">
        <v>1506</v>
      </c>
      <c r="H293" s="119"/>
      <c r="I293" s="118"/>
      <c r="J293" s="41" t="s">
        <v>110</v>
      </c>
      <c r="K293" s="5">
        <v>0</v>
      </c>
      <c r="L293" s="41" t="s">
        <v>110</v>
      </c>
      <c r="M293" s="5">
        <v>0</v>
      </c>
      <c r="N293" s="7" t="s">
        <v>115</v>
      </c>
      <c r="O293" s="7">
        <v>1</v>
      </c>
      <c r="P293" s="5" t="s">
        <v>111</v>
      </c>
      <c r="Q293" s="5"/>
      <c r="R293" s="5" t="s">
        <v>112</v>
      </c>
      <c r="S293" s="5">
        <v>3</v>
      </c>
      <c r="T293" s="179" t="s">
        <v>253</v>
      </c>
      <c r="U293" s="179"/>
      <c r="V293" s="5"/>
      <c r="W293" s="174">
        <v>45992</v>
      </c>
      <c r="X293" s="174">
        <v>45992</v>
      </c>
      <c r="Y293" s="5"/>
      <c r="Z293" s="3" t="s">
        <v>817</v>
      </c>
      <c r="AA293" s="3" t="s">
        <v>1507</v>
      </c>
      <c r="AB293" s="3" t="s">
        <v>118</v>
      </c>
      <c r="AC293" s="3"/>
      <c r="AD293" s="3"/>
      <c r="AE293" s="3"/>
      <c r="AF293" s="12">
        <f>PAI2025Planejamento[[#This Row],[1) IMPACTO NO MERCADO]]*$AG$2+PAI2025Planejamento[[#This Row],[2) RELEVÂNCIA TEMÁTICA]]*$AI$2+PAI2025Planejamento[[#This Row],[3) TIPO DE ATUAÇÃO]]*$AK$2+PAI2025Planejamento[[#This Row],[4) TIPO DE FÓRUM]]*$AM$2</f>
        <v>70</v>
      </c>
      <c r="AG293" s="7">
        <v>80</v>
      </c>
      <c r="AH293" s="7" t="s">
        <v>1508</v>
      </c>
      <c r="AI293" s="7">
        <v>80</v>
      </c>
      <c r="AJ293" s="7" t="s">
        <v>1509</v>
      </c>
      <c r="AK293" s="7">
        <v>40</v>
      </c>
      <c r="AL293" s="7"/>
      <c r="AM293" s="7">
        <v>60</v>
      </c>
      <c r="AN293" s="7" t="s">
        <v>865</v>
      </c>
      <c r="AO293" s="63">
        <v>5.8</v>
      </c>
      <c r="AP293" s="58"/>
      <c r="AQ293" s="58"/>
      <c r="AR293" s="58"/>
      <c r="AS293" s="30">
        <v>0</v>
      </c>
      <c r="AT293" s="30">
        <v>0</v>
      </c>
      <c r="AU293" s="30">
        <v>0</v>
      </c>
      <c r="AV293" s="197">
        <v>0</v>
      </c>
      <c r="AW293" s="197">
        <v>0</v>
      </c>
      <c r="AX293" s="197">
        <v>0</v>
      </c>
      <c r="AY293" s="202"/>
      <c r="AZ293" s="202"/>
      <c r="BA293" s="202">
        <v>0</v>
      </c>
      <c r="BB293" s="5"/>
      <c r="BC293" s="189"/>
      <c r="BD293" s="190">
        <v>1</v>
      </c>
      <c r="BE293" s="30"/>
      <c r="BF293" s="186"/>
      <c r="BG293" s="183"/>
      <c r="BH293" s="183"/>
    </row>
    <row r="294" spans="1:60" ht="30" hidden="1" customHeight="1">
      <c r="A294" s="115" t="s">
        <v>1510</v>
      </c>
      <c r="B294" s="116" t="s">
        <v>1511</v>
      </c>
      <c r="C294" s="116" t="s">
        <v>1512</v>
      </c>
      <c r="D294" s="116"/>
      <c r="E294" s="117" t="s">
        <v>1505</v>
      </c>
      <c r="F294" s="117" t="s">
        <v>340</v>
      </c>
      <c r="G294" s="116" t="s">
        <v>1513</v>
      </c>
      <c r="H294" s="119"/>
      <c r="I294" s="118"/>
      <c r="J294" s="41" t="s">
        <v>110</v>
      </c>
      <c r="K294" s="5">
        <v>3</v>
      </c>
      <c r="L294" s="41" t="s">
        <v>178</v>
      </c>
      <c r="M294" s="5">
        <v>2</v>
      </c>
      <c r="N294" s="7"/>
      <c r="O294" s="7"/>
      <c r="P294" s="5" t="s">
        <v>111</v>
      </c>
      <c r="Q294" s="5"/>
      <c r="R294" s="5" t="s">
        <v>112</v>
      </c>
      <c r="S294" s="5">
        <v>5</v>
      </c>
      <c r="T294" s="5" t="s">
        <v>139</v>
      </c>
      <c r="U294" s="5"/>
      <c r="V294" s="5"/>
      <c r="W294" s="174">
        <v>45992</v>
      </c>
      <c r="X294" s="174">
        <v>45992</v>
      </c>
      <c r="Y294" s="5"/>
      <c r="Z294" s="3" t="s">
        <v>141</v>
      </c>
      <c r="AA294" s="3" t="s">
        <v>1514</v>
      </c>
      <c r="AB294" s="3" t="s">
        <v>345</v>
      </c>
      <c r="AC294" s="3"/>
      <c r="AD294" s="3"/>
      <c r="AE294" s="3"/>
      <c r="AF294" s="12">
        <f>PAI2025Planejamento[[#This Row],[1) IMPACTO NO MERCADO]]*$AG$2+PAI2025Planejamento[[#This Row],[2) RELEVÂNCIA TEMÁTICA]]*$AI$2+PAI2025Planejamento[[#This Row],[3) TIPO DE ATUAÇÃO]]*$AK$2+PAI2025Planejamento[[#This Row],[4) TIPO DE FÓRUM]]*$AM$2</f>
        <v>70</v>
      </c>
      <c r="AG294" s="7">
        <v>60</v>
      </c>
      <c r="AH294" s="7"/>
      <c r="AI294" s="7">
        <v>100</v>
      </c>
      <c r="AJ294" s="7"/>
      <c r="AK294" s="7">
        <v>40</v>
      </c>
      <c r="AL294" s="7"/>
      <c r="AM294" s="7">
        <v>80</v>
      </c>
      <c r="AN294" s="7"/>
      <c r="AO294" s="63">
        <v>5.8</v>
      </c>
      <c r="AP294" s="58">
        <v>1600</v>
      </c>
      <c r="AQ294" s="62">
        <f>AVERAGE(460,420,420)</f>
        <v>433.33333333333331</v>
      </c>
      <c r="AR294" s="58">
        <f>AVERAGE(460,420)</f>
        <v>440</v>
      </c>
      <c r="AS294" s="30">
        <v>60319.999999999993</v>
      </c>
      <c r="AT294" s="30">
        <v>27840</v>
      </c>
      <c r="AU294" s="30">
        <v>88160</v>
      </c>
      <c r="AV294" s="197">
        <v>40832</v>
      </c>
      <c r="AW294" s="197">
        <v>18560</v>
      </c>
      <c r="AX294" s="197">
        <v>59392</v>
      </c>
      <c r="AY294" s="202"/>
      <c r="AZ294" s="202"/>
      <c r="BA294" s="202">
        <v>0</v>
      </c>
      <c r="BB294" s="5"/>
      <c r="BC294" s="189"/>
      <c r="BD294" s="190">
        <v>3</v>
      </c>
      <c r="BE294" s="30"/>
      <c r="BF294" s="186"/>
      <c r="BG294" s="183"/>
      <c r="BH294" s="183"/>
    </row>
    <row r="295" spans="1:60" ht="30" hidden="1" customHeight="1">
      <c r="A295" s="115" t="s">
        <v>122</v>
      </c>
      <c r="B295" s="116" t="s">
        <v>1515</v>
      </c>
      <c r="C295" s="116" t="s">
        <v>1516</v>
      </c>
      <c r="D295" s="116"/>
      <c r="E295" s="117" t="s">
        <v>165</v>
      </c>
      <c r="F295" s="117" t="s">
        <v>166</v>
      </c>
      <c r="G295" s="116"/>
      <c r="H295" s="119"/>
      <c r="I295" s="118"/>
      <c r="J295" s="41" t="s">
        <v>110</v>
      </c>
      <c r="K295" s="5">
        <v>1</v>
      </c>
      <c r="L295" s="41" t="s">
        <v>110</v>
      </c>
      <c r="M295" s="5">
        <v>1</v>
      </c>
      <c r="N295" s="7"/>
      <c r="O295" s="7"/>
      <c r="P295" s="5" t="s">
        <v>111</v>
      </c>
      <c r="Q295" s="5"/>
      <c r="R295" s="5" t="s">
        <v>112</v>
      </c>
      <c r="S295" s="5">
        <v>5</v>
      </c>
      <c r="T295" s="5" t="s">
        <v>285</v>
      </c>
      <c r="U295" s="5"/>
      <c r="V295" s="5"/>
      <c r="W295" s="175">
        <v>45992</v>
      </c>
      <c r="X295" s="175">
        <v>45992</v>
      </c>
      <c r="Y295" s="5"/>
      <c r="Z295" s="3" t="s">
        <v>267</v>
      </c>
      <c r="AA295" s="3" t="s">
        <v>1517</v>
      </c>
      <c r="AB295" s="3" t="s">
        <v>118</v>
      </c>
      <c r="AC295" s="3" t="s">
        <v>467</v>
      </c>
      <c r="AD295" s="3"/>
      <c r="AE295" s="3"/>
      <c r="AF295" s="12">
        <f t="shared" ref="AF295:AF321" si="8">AG295*$AG$2+AI295*$AI$2+AK295*$AK$2+AM295*$AM$2</f>
        <v>70</v>
      </c>
      <c r="AG295" s="7">
        <v>60</v>
      </c>
      <c r="AH295" s="7"/>
      <c r="AI295" s="7">
        <v>100</v>
      </c>
      <c r="AJ295" s="7" t="s">
        <v>468</v>
      </c>
      <c r="AK295" s="7">
        <v>40</v>
      </c>
      <c r="AL295" s="7" t="s">
        <v>1518</v>
      </c>
      <c r="AM295" s="7">
        <v>80</v>
      </c>
      <c r="AN295" s="7"/>
      <c r="AO295" s="63">
        <v>5.8</v>
      </c>
      <c r="AP295" s="58">
        <v>1600</v>
      </c>
      <c r="AQ295" s="58">
        <v>330</v>
      </c>
      <c r="AR295" s="58">
        <v>330</v>
      </c>
      <c r="AS295" s="30">
        <v>15312</v>
      </c>
      <c r="AT295" s="30">
        <v>9280</v>
      </c>
      <c r="AU295" s="30">
        <v>24592</v>
      </c>
      <c r="AV295" s="197">
        <v>15312</v>
      </c>
      <c r="AW295" s="197">
        <v>9280</v>
      </c>
      <c r="AX295" s="197">
        <v>24592</v>
      </c>
      <c r="AY295" s="202"/>
      <c r="AZ295" s="202"/>
      <c r="BA295" s="202">
        <v>0</v>
      </c>
      <c r="BB295" s="5"/>
      <c r="BC295" s="41"/>
      <c r="BD295" s="41">
        <v>3</v>
      </c>
      <c r="BE295" s="30"/>
      <c r="BF295" s="186"/>
      <c r="BG295" s="183"/>
      <c r="BH295" s="183"/>
    </row>
    <row r="296" spans="1:60" ht="30" hidden="1" customHeight="1">
      <c r="A296" s="115" t="s">
        <v>1383</v>
      </c>
      <c r="B296" s="120" t="s">
        <v>1519</v>
      </c>
      <c r="C296" s="116" t="s">
        <v>1520</v>
      </c>
      <c r="D296" s="116" t="s">
        <v>1521</v>
      </c>
      <c r="E296" s="117" t="s">
        <v>339</v>
      </c>
      <c r="F296" s="117" t="s">
        <v>340</v>
      </c>
      <c r="G296" s="120" t="s">
        <v>1522</v>
      </c>
      <c r="H296" s="121"/>
      <c r="I296" s="41" t="s">
        <v>129</v>
      </c>
      <c r="J296" s="41" t="s">
        <v>110</v>
      </c>
      <c r="K296" s="117">
        <v>2</v>
      </c>
      <c r="L296" s="41" t="s">
        <v>110</v>
      </c>
      <c r="M296" s="5">
        <v>1</v>
      </c>
      <c r="N296" s="7" t="s">
        <v>115</v>
      </c>
      <c r="O296" s="7">
        <v>1</v>
      </c>
      <c r="P296" s="5" t="s">
        <v>111</v>
      </c>
      <c r="Q296" s="5">
        <v>1</v>
      </c>
      <c r="R296" s="5" t="s">
        <v>112</v>
      </c>
      <c r="S296" s="5">
        <v>3</v>
      </c>
      <c r="T296" s="5" t="s">
        <v>295</v>
      </c>
      <c r="U296" s="5" t="s">
        <v>296</v>
      </c>
      <c r="V296" s="5" t="s">
        <v>115</v>
      </c>
      <c r="W296" s="174">
        <v>45769</v>
      </c>
      <c r="X296" s="174">
        <v>45771</v>
      </c>
      <c r="Y296" s="5"/>
      <c r="Z296" s="3" t="s">
        <v>141</v>
      </c>
      <c r="AA296" s="3" t="s">
        <v>1388</v>
      </c>
      <c r="AB296" s="3" t="s">
        <v>517</v>
      </c>
      <c r="AC296" s="3" t="s">
        <v>1389</v>
      </c>
      <c r="AD296" s="3"/>
      <c r="AE296" s="3"/>
      <c r="AF296" s="12">
        <f t="shared" si="8"/>
        <v>86</v>
      </c>
      <c r="AG296" s="7">
        <v>80</v>
      </c>
      <c r="AH296" s="7"/>
      <c r="AI296" s="7">
        <v>100</v>
      </c>
      <c r="AJ296" s="7" t="s">
        <v>1390</v>
      </c>
      <c r="AK296" s="7">
        <v>80</v>
      </c>
      <c r="AL296" s="7"/>
      <c r="AM296" s="7">
        <v>80</v>
      </c>
      <c r="AN296" s="7"/>
      <c r="AO296" s="63">
        <v>5.8</v>
      </c>
      <c r="AP296" s="58">
        <v>800</v>
      </c>
      <c r="AQ296" s="58">
        <v>280</v>
      </c>
      <c r="AR296" s="58">
        <v>280</v>
      </c>
      <c r="AS296" s="30">
        <v>16240</v>
      </c>
      <c r="AT296" s="30">
        <v>9280</v>
      </c>
      <c r="AU296" s="30">
        <v>25520</v>
      </c>
      <c r="AV296" s="197">
        <v>8120</v>
      </c>
      <c r="AW296" s="197">
        <v>4640</v>
      </c>
      <c r="AX296" s="197">
        <v>12760</v>
      </c>
      <c r="AY296" s="202">
        <v>6393.43</v>
      </c>
      <c r="AZ296" s="202">
        <v>3694.96</v>
      </c>
      <c r="BA296" s="202">
        <f>6393.43+6160.45</f>
        <v>12553.880000000001</v>
      </c>
      <c r="BB296" s="5" t="s">
        <v>1523</v>
      </c>
      <c r="BC296" s="41" t="s">
        <v>1524</v>
      </c>
      <c r="BD296" s="41">
        <v>2</v>
      </c>
      <c r="BE296" s="30"/>
      <c r="BF296" s="186"/>
      <c r="BG296" s="183"/>
      <c r="BH296" s="183"/>
    </row>
    <row r="297" spans="1:60" ht="30" hidden="1" customHeight="1">
      <c r="A297" s="115" t="s">
        <v>476</v>
      </c>
      <c r="B297" s="116" t="s">
        <v>1525</v>
      </c>
      <c r="C297" s="116" t="s">
        <v>1526</v>
      </c>
      <c r="D297" s="116"/>
      <c r="E297" s="117" t="s">
        <v>274</v>
      </c>
      <c r="F297" s="117" t="s">
        <v>275</v>
      </c>
      <c r="G297" s="116" t="s">
        <v>1527</v>
      </c>
      <c r="H297" s="119"/>
      <c r="I297" s="118"/>
      <c r="J297" s="41" t="s">
        <v>110</v>
      </c>
      <c r="K297" s="5">
        <v>1</v>
      </c>
      <c r="L297" s="118" t="s">
        <v>110</v>
      </c>
      <c r="M297" s="5">
        <v>1</v>
      </c>
      <c r="N297" s="7"/>
      <c r="O297" s="7"/>
      <c r="P297" s="5" t="s">
        <v>111</v>
      </c>
      <c r="Q297" s="5"/>
      <c r="R297" s="5" t="s">
        <v>112</v>
      </c>
      <c r="S297" s="5">
        <v>4</v>
      </c>
      <c r="T297" s="5" t="s">
        <v>139</v>
      </c>
      <c r="U297" s="5"/>
      <c r="V297" s="5"/>
      <c r="W297" s="174">
        <v>45992</v>
      </c>
      <c r="X297" s="174">
        <v>45992</v>
      </c>
      <c r="Y297" s="5"/>
      <c r="Z297" s="3" t="s">
        <v>524</v>
      </c>
      <c r="AA297" s="2" t="s">
        <v>1528</v>
      </c>
      <c r="AB297" s="3" t="s">
        <v>345</v>
      </c>
      <c r="AC297" s="3" t="s">
        <v>1321</v>
      </c>
      <c r="AD297" s="50"/>
      <c r="AE297" s="50"/>
      <c r="AF297" s="12">
        <f t="shared" si="8"/>
        <v>68</v>
      </c>
      <c r="AG297" s="7">
        <v>60</v>
      </c>
      <c r="AH297" s="7"/>
      <c r="AI297" s="7">
        <v>80</v>
      </c>
      <c r="AJ297" s="7"/>
      <c r="AK297" s="7">
        <v>60</v>
      </c>
      <c r="AL297" s="7"/>
      <c r="AM297" s="7">
        <v>80</v>
      </c>
      <c r="AN297" s="7"/>
      <c r="AO297" s="63">
        <v>5.8</v>
      </c>
      <c r="AP297" s="58">
        <v>1600</v>
      </c>
      <c r="AQ297" s="58">
        <v>370</v>
      </c>
      <c r="AR297" s="58">
        <v>370</v>
      </c>
      <c r="AS297" s="30">
        <v>15022</v>
      </c>
      <c r="AT297" s="30">
        <v>9280</v>
      </c>
      <c r="AU297" s="30">
        <v>24302</v>
      </c>
      <c r="AV297" s="197">
        <v>15022</v>
      </c>
      <c r="AW297" s="197">
        <v>9280</v>
      </c>
      <c r="AX297" s="197">
        <v>24302</v>
      </c>
      <c r="AY297" s="202"/>
      <c r="AZ297" s="202"/>
      <c r="BA297" s="202">
        <v>0</v>
      </c>
      <c r="BB297" s="5" t="s">
        <v>1529</v>
      </c>
      <c r="BC297" s="189"/>
      <c r="BD297" s="190">
        <v>3</v>
      </c>
      <c r="BE297" s="30"/>
      <c r="BF297" s="186"/>
      <c r="BG297" s="183"/>
      <c r="BH297" s="183"/>
    </row>
    <row r="298" spans="1:60" ht="30" hidden="1" customHeight="1">
      <c r="A298" s="115" t="s">
        <v>248</v>
      </c>
      <c r="B298" s="116" t="s">
        <v>1530</v>
      </c>
      <c r="C298" s="116" t="s">
        <v>1531</v>
      </c>
      <c r="D298" s="116"/>
      <c r="E298" s="117" t="s">
        <v>264</v>
      </c>
      <c r="F298" s="117" t="s">
        <v>265</v>
      </c>
      <c r="G298" s="116" t="s">
        <v>1532</v>
      </c>
      <c r="H298" s="119"/>
      <c r="I298" s="118"/>
      <c r="J298" s="41" t="s">
        <v>110</v>
      </c>
      <c r="K298" s="5">
        <v>2</v>
      </c>
      <c r="L298" s="41" t="s">
        <v>110</v>
      </c>
      <c r="M298" s="5">
        <v>2</v>
      </c>
      <c r="N298" s="7" t="s">
        <v>115</v>
      </c>
      <c r="O298" s="7">
        <v>1</v>
      </c>
      <c r="P298" s="5" t="s">
        <v>111</v>
      </c>
      <c r="Q298" s="5"/>
      <c r="R298" s="5" t="s">
        <v>112</v>
      </c>
      <c r="S298" s="5">
        <v>5</v>
      </c>
      <c r="T298" s="5" t="s">
        <v>545</v>
      </c>
      <c r="U298" s="5"/>
      <c r="V298" s="5" t="s">
        <v>115</v>
      </c>
      <c r="W298" s="174">
        <v>45992</v>
      </c>
      <c r="X298" s="174">
        <v>45992</v>
      </c>
      <c r="Y298" s="5"/>
      <c r="Z298" s="3" t="s">
        <v>141</v>
      </c>
      <c r="AA298" s="2" t="s">
        <v>1533</v>
      </c>
      <c r="AB298" s="3" t="s">
        <v>118</v>
      </c>
      <c r="AC298" s="3" t="s">
        <v>269</v>
      </c>
      <c r="AD298" s="50"/>
      <c r="AE298" s="50"/>
      <c r="AF298" s="12">
        <f t="shared" si="8"/>
        <v>68</v>
      </c>
      <c r="AG298" s="7">
        <v>80</v>
      </c>
      <c r="AH298" s="7"/>
      <c r="AI298" s="7">
        <v>40</v>
      </c>
      <c r="AJ298" s="7"/>
      <c r="AK298" s="7">
        <v>80</v>
      </c>
      <c r="AL298" s="7" t="s">
        <v>1534</v>
      </c>
      <c r="AM298" s="7">
        <v>80</v>
      </c>
      <c r="AN298" s="7"/>
      <c r="AO298" s="63">
        <v>5.8</v>
      </c>
      <c r="AP298" s="58">
        <v>1600</v>
      </c>
      <c r="AQ298" s="58">
        <f>AVERAGE(200,170)</f>
        <v>185</v>
      </c>
      <c r="AR298" s="58">
        <v>200</v>
      </c>
      <c r="AS298" s="30">
        <v>15022</v>
      </c>
      <c r="AT298" s="30">
        <v>18560</v>
      </c>
      <c r="AU298" s="30">
        <v>33582</v>
      </c>
      <c r="AV298" s="197">
        <v>16240</v>
      </c>
      <c r="AW298" s="197">
        <v>18560</v>
      </c>
      <c r="AX298" s="197">
        <v>34800</v>
      </c>
      <c r="AY298" s="202"/>
      <c r="AZ298" s="202"/>
      <c r="BA298" s="202">
        <v>0</v>
      </c>
      <c r="BB298" s="5" t="s">
        <v>1535</v>
      </c>
      <c r="BC298" s="41"/>
      <c r="BD298" s="192">
        <v>2</v>
      </c>
      <c r="BE298" s="30"/>
      <c r="BF298" s="186"/>
      <c r="BG298" s="183"/>
      <c r="BH298" s="183"/>
    </row>
    <row r="299" spans="1:60" ht="30" hidden="1" customHeight="1">
      <c r="A299" s="115" t="s">
        <v>122</v>
      </c>
      <c r="B299" s="116" t="s">
        <v>795</v>
      </c>
      <c r="C299" s="116" t="s">
        <v>352</v>
      </c>
      <c r="D299" s="116"/>
      <c r="E299" s="117" t="s">
        <v>274</v>
      </c>
      <c r="F299" s="117" t="s">
        <v>275</v>
      </c>
      <c r="G299" s="116" t="s">
        <v>1536</v>
      </c>
      <c r="H299" s="119"/>
      <c r="I299" s="118"/>
      <c r="J299" s="41" t="s">
        <v>110</v>
      </c>
      <c r="K299" s="5">
        <v>1</v>
      </c>
      <c r="L299" s="41" t="s">
        <v>110</v>
      </c>
      <c r="M299" s="5">
        <v>1</v>
      </c>
      <c r="N299" s="7"/>
      <c r="O299" s="7"/>
      <c r="P299" s="5" t="s">
        <v>111</v>
      </c>
      <c r="Q299" s="5"/>
      <c r="R299" s="5" t="s">
        <v>112</v>
      </c>
      <c r="S299" s="5">
        <v>5</v>
      </c>
      <c r="T299" s="5" t="s">
        <v>285</v>
      </c>
      <c r="U299" s="5"/>
      <c r="V299" s="5"/>
      <c r="W299" s="175">
        <v>45992</v>
      </c>
      <c r="X299" s="175">
        <v>45992</v>
      </c>
      <c r="Y299" s="5"/>
      <c r="Z299" s="3" t="s">
        <v>116</v>
      </c>
      <c r="AA299" s="2" t="s">
        <v>1537</v>
      </c>
      <c r="AB299" s="3" t="s">
        <v>118</v>
      </c>
      <c r="AC299" s="3" t="s">
        <v>1538</v>
      </c>
      <c r="AD299" s="50"/>
      <c r="AE299" s="50"/>
      <c r="AF299" s="12">
        <f t="shared" si="8"/>
        <v>68</v>
      </c>
      <c r="AG299" s="7">
        <v>80</v>
      </c>
      <c r="AH299" s="7" t="s">
        <v>798</v>
      </c>
      <c r="AI299" s="7">
        <v>40</v>
      </c>
      <c r="AJ299" s="7"/>
      <c r="AK299" s="7">
        <v>80</v>
      </c>
      <c r="AL299" s="7" t="s">
        <v>1539</v>
      </c>
      <c r="AM299" s="7">
        <v>80</v>
      </c>
      <c r="AN299" s="7"/>
      <c r="AO299" s="63">
        <v>5.8</v>
      </c>
      <c r="AP299" s="58">
        <v>1600</v>
      </c>
      <c r="AQ299" s="58">
        <v>310</v>
      </c>
      <c r="AR299" s="58">
        <v>310</v>
      </c>
      <c r="AS299" s="30">
        <v>14384</v>
      </c>
      <c r="AT299" s="30">
        <v>9280</v>
      </c>
      <c r="AU299" s="30">
        <v>23664</v>
      </c>
      <c r="AV299" s="197">
        <v>14384</v>
      </c>
      <c r="AW299" s="197">
        <v>9280</v>
      </c>
      <c r="AX299" s="197">
        <v>23664</v>
      </c>
      <c r="AY299" s="202"/>
      <c r="AZ299" s="202"/>
      <c r="BA299" s="202">
        <v>0</v>
      </c>
      <c r="BB299" s="5" t="s">
        <v>1540</v>
      </c>
      <c r="BC299" s="189"/>
      <c r="BD299" s="190">
        <v>3</v>
      </c>
      <c r="BE299" s="30"/>
      <c r="BF299" s="186"/>
      <c r="BG299" s="183"/>
      <c r="BH299" s="183"/>
    </row>
    <row r="300" spans="1:60" ht="30" hidden="1" customHeight="1">
      <c r="A300" s="115" t="s">
        <v>122</v>
      </c>
      <c r="B300" s="116" t="s">
        <v>1541</v>
      </c>
      <c r="C300" s="116" t="s">
        <v>352</v>
      </c>
      <c r="D300" s="116"/>
      <c r="E300" s="117" t="s">
        <v>274</v>
      </c>
      <c r="F300" s="117" t="s">
        <v>275</v>
      </c>
      <c r="G300" s="116" t="s">
        <v>1536</v>
      </c>
      <c r="H300" s="119"/>
      <c r="I300" s="118"/>
      <c r="J300" s="41" t="s">
        <v>110</v>
      </c>
      <c r="K300" s="5">
        <v>1</v>
      </c>
      <c r="L300" s="41" t="s">
        <v>110</v>
      </c>
      <c r="M300" s="5">
        <v>1</v>
      </c>
      <c r="N300" s="7"/>
      <c r="O300" s="7"/>
      <c r="P300" s="5" t="s">
        <v>111</v>
      </c>
      <c r="Q300" s="5"/>
      <c r="R300" s="5" t="s">
        <v>112</v>
      </c>
      <c r="S300" s="5">
        <v>5</v>
      </c>
      <c r="T300" s="5" t="s">
        <v>801</v>
      </c>
      <c r="U300" s="5"/>
      <c r="V300" s="5"/>
      <c r="W300" s="174">
        <v>45992</v>
      </c>
      <c r="X300" s="174">
        <v>45992</v>
      </c>
      <c r="Y300" s="5"/>
      <c r="Z300" s="3" t="s">
        <v>116</v>
      </c>
      <c r="AA300" s="2" t="s">
        <v>1537</v>
      </c>
      <c r="AB300" s="3" t="s">
        <v>118</v>
      </c>
      <c r="AC300" s="3" t="s">
        <v>1538</v>
      </c>
      <c r="AD300" s="50"/>
      <c r="AE300" s="50"/>
      <c r="AF300" s="12">
        <f t="shared" si="8"/>
        <v>68</v>
      </c>
      <c r="AG300" s="7">
        <v>80</v>
      </c>
      <c r="AH300" s="7" t="s">
        <v>798</v>
      </c>
      <c r="AI300" s="7">
        <v>40</v>
      </c>
      <c r="AJ300" s="7"/>
      <c r="AK300" s="7">
        <v>80</v>
      </c>
      <c r="AL300" s="7" t="s">
        <v>1539</v>
      </c>
      <c r="AM300" s="7">
        <v>80</v>
      </c>
      <c r="AN300" s="7"/>
      <c r="AO300" s="63">
        <v>5.8</v>
      </c>
      <c r="AP300" s="58">
        <v>1600</v>
      </c>
      <c r="AQ300" s="58">
        <v>370</v>
      </c>
      <c r="AR300" s="58">
        <v>370</v>
      </c>
      <c r="AS300" s="30">
        <v>17168</v>
      </c>
      <c r="AT300" s="30">
        <v>9280</v>
      </c>
      <c r="AU300" s="30">
        <v>26448</v>
      </c>
      <c r="AV300" s="197">
        <v>17168</v>
      </c>
      <c r="AW300" s="197">
        <v>9280</v>
      </c>
      <c r="AX300" s="197">
        <v>26448</v>
      </c>
      <c r="AY300" s="202"/>
      <c r="AZ300" s="202"/>
      <c r="BA300" s="202">
        <v>0</v>
      </c>
      <c r="BB300" s="5" t="s">
        <v>1540</v>
      </c>
      <c r="BC300" s="41"/>
      <c r="BD300" s="192">
        <v>3</v>
      </c>
      <c r="BE300" s="30"/>
      <c r="BF300" s="186"/>
      <c r="BG300" s="183"/>
      <c r="BH300" s="183"/>
    </row>
    <row r="301" spans="1:60" ht="30" hidden="1" customHeight="1">
      <c r="A301" s="115" t="s">
        <v>1542</v>
      </c>
      <c r="B301" s="116" t="s">
        <v>1543</v>
      </c>
      <c r="C301" s="116" t="s">
        <v>1273</v>
      </c>
      <c r="D301" s="116" t="s">
        <v>1544</v>
      </c>
      <c r="E301" s="117" t="s">
        <v>107</v>
      </c>
      <c r="F301" s="117" t="s">
        <v>108</v>
      </c>
      <c r="G301" s="116" t="s">
        <v>1545</v>
      </c>
      <c r="H301" s="119"/>
      <c r="I301" s="118" t="s">
        <v>341</v>
      </c>
      <c r="J301" s="41" t="s">
        <v>110</v>
      </c>
      <c r="K301" s="5">
        <v>1</v>
      </c>
      <c r="L301" s="41" t="s">
        <v>110</v>
      </c>
      <c r="M301" s="5">
        <v>1</v>
      </c>
      <c r="N301" s="7" t="s">
        <v>115</v>
      </c>
      <c r="O301" s="7">
        <v>1</v>
      </c>
      <c r="P301" s="5" t="s">
        <v>111</v>
      </c>
      <c r="Q301" s="5">
        <v>1</v>
      </c>
      <c r="R301" s="5" t="s">
        <v>112</v>
      </c>
      <c r="S301" s="5">
        <v>5</v>
      </c>
      <c r="T301" s="5" t="s">
        <v>260</v>
      </c>
      <c r="U301" s="5" t="s">
        <v>1546</v>
      </c>
      <c r="V301" s="5"/>
      <c r="W301" s="175">
        <v>45779</v>
      </c>
      <c r="X301" s="175">
        <v>45787</v>
      </c>
      <c r="Y301" s="5"/>
      <c r="Z301" s="3" t="s">
        <v>116</v>
      </c>
      <c r="AA301" s="2" t="s">
        <v>1135</v>
      </c>
      <c r="AB301" s="3" t="s">
        <v>118</v>
      </c>
      <c r="AC301" s="3" t="s">
        <v>1547</v>
      </c>
      <c r="AD301" s="50"/>
      <c r="AE301" s="50"/>
      <c r="AF301" s="12">
        <f t="shared" si="8"/>
        <v>68</v>
      </c>
      <c r="AG301" s="7">
        <v>80</v>
      </c>
      <c r="AH301" s="7"/>
      <c r="AI301" s="7">
        <v>40</v>
      </c>
      <c r="AJ301" s="7"/>
      <c r="AK301" s="7">
        <v>80</v>
      </c>
      <c r="AL301" s="7"/>
      <c r="AM301" s="7">
        <v>80</v>
      </c>
      <c r="AN301" s="7"/>
      <c r="AO301" s="63">
        <v>5.8</v>
      </c>
      <c r="AP301" s="58">
        <v>1600</v>
      </c>
      <c r="AQ301" s="58">
        <v>370</v>
      </c>
      <c r="AR301" s="58">
        <v>370</v>
      </c>
      <c r="AS301" s="30">
        <v>17168</v>
      </c>
      <c r="AT301" s="30">
        <v>9280</v>
      </c>
      <c r="AU301" s="30">
        <v>26448</v>
      </c>
      <c r="AV301" s="197">
        <v>17168</v>
      </c>
      <c r="AW301" s="197">
        <v>9280</v>
      </c>
      <c r="AX301" s="197">
        <v>26448</v>
      </c>
      <c r="AY301" s="202">
        <v>12769.64</v>
      </c>
      <c r="AZ301" s="202">
        <v>7817.15</v>
      </c>
      <c r="BA301" s="202">
        <f>12769.64+7817.15</f>
        <v>20586.79</v>
      </c>
      <c r="BB301" s="5" t="s">
        <v>1548</v>
      </c>
      <c r="BC301" s="41" t="s">
        <v>1549</v>
      </c>
      <c r="BD301" s="192">
        <v>3</v>
      </c>
      <c r="BE301" s="30"/>
      <c r="BF301" s="186"/>
      <c r="BG301" s="183"/>
      <c r="BH301" s="183"/>
    </row>
    <row r="302" spans="1:60" ht="30" hidden="1" customHeight="1">
      <c r="A302" s="115" t="s">
        <v>735</v>
      </c>
      <c r="B302" s="116" t="s">
        <v>1205</v>
      </c>
      <c r="C302" s="116" t="s">
        <v>737</v>
      </c>
      <c r="D302" s="116"/>
      <c r="E302" s="117" t="s">
        <v>274</v>
      </c>
      <c r="F302" s="117" t="s">
        <v>275</v>
      </c>
      <c r="G302" s="116" t="s">
        <v>1550</v>
      </c>
      <c r="H302" s="119"/>
      <c r="I302" s="118"/>
      <c r="J302" s="41" t="s">
        <v>110</v>
      </c>
      <c r="K302" s="5">
        <v>1</v>
      </c>
      <c r="L302" s="41" t="s">
        <v>110</v>
      </c>
      <c r="M302" s="5">
        <v>1</v>
      </c>
      <c r="N302" s="7" t="s">
        <v>115</v>
      </c>
      <c r="O302" s="7">
        <v>1</v>
      </c>
      <c r="P302" s="5" t="s">
        <v>111</v>
      </c>
      <c r="Q302" s="5"/>
      <c r="R302" s="5" t="s">
        <v>112</v>
      </c>
      <c r="S302" s="5">
        <v>2</v>
      </c>
      <c r="T302" s="5" t="s">
        <v>924</v>
      </c>
      <c r="U302" s="5"/>
      <c r="V302" s="5" t="s">
        <v>115</v>
      </c>
      <c r="W302" s="175">
        <v>45992</v>
      </c>
      <c r="X302" s="175">
        <v>45992</v>
      </c>
      <c r="Y302" s="5"/>
      <c r="Z302" s="3" t="s">
        <v>817</v>
      </c>
      <c r="AA302" s="2" t="s">
        <v>1551</v>
      </c>
      <c r="AB302" s="3" t="s">
        <v>118</v>
      </c>
      <c r="AC302" s="3" t="s">
        <v>356</v>
      </c>
      <c r="AD302" s="50"/>
      <c r="AE302" s="50"/>
      <c r="AF302" s="12">
        <f t="shared" si="8"/>
        <v>68</v>
      </c>
      <c r="AG302" s="7">
        <v>60</v>
      </c>
      <c r="AH302" s="7"/>
      <c r="AI302" s="7">
        <v>80</v>
      </c>
      <c r="AJ302" s="7" t="s">
        <v>1209</v>
      </c>
      <c r="AK302" s="7">
        <v>60</v>
      </c>
      <c r="AL302" s="7"/>
      <c r="AM302" s="7">
        <v>80</v>
      </c>
      <c r="AN302" s="7" t="s">
        <v>865</v>
      </c>
      <c r="AO302" s="63">
        <v>5.8</v>
      </c>
      <c r="AP302" s="58">
        <v>800</v>
      </c>
      <c r="AQ302" s="58">
        <v>280</v>
      </c>
      <c r="AR302" s="58">
        <v>280</v>
      </c>
      <c r="AS302" s="30">
        <v>6496</v>
      </c>
      <c r="AT302" s="30">
        <v>4640</v>
      </c>
      <c r="AU302" s="30">
        <v>11136</v>
      </c>
      <c r="AV302" s="197">
        <v>6496</v>
      </c>
      <c r="AW302" s="197">
        <v>4640</v>
      </c>
      <c r="AX302" s="197">
        <v>11136</v>
      </c>
      <c r="AY302" s="202"/>
      <c r="AZ302" s="202"/>
      <c r="BA302" s="202">
        <v>0</v>
      </c>
      <c r="BB302" s="5" t="s">
        <v>277</v>
      </c>
      <c r="BC302" s="41"/>
      <c r="BD302" s="192">
        <v>2</v>
      </c>
      <c r="BE302" s="30"/>
      <c r="BF302" s="186"/>
      <c r="BG302" s="183"/>
      <c r="BH302" s="183"/>
    </row>
    <row r="303" spans="1:60" ht="30" hidden="1" customHeight="1">
      <c r="A303" s="115" t="s">
        <v>735</v>
      </c>
      <c r="B303" s="116" t="s">
        <v>1552</v>
      </c>
      <c r="C303" s="116" t="s">
        <v>737</v>
      </c>
      <c r="D303" s="116"/>
      <c r="E303" s="117" t="s">
        <v>274</v>
      </c>
      <c r="F303" s="117" t="s">
        <v>275</v>
      </c>
      <c r="G303" s="116" t="s">
        <v>1550</v>
      </c>
      <c r="H303" s="119"/>
      <c r="I303" s="118"/>
      <c r="J303" s="41" t="s">
        <v>110</v>
      </c>
      <c r="K303" s="5">
        <v>1</v>
      </c>
      <c r="L303" s="41" t="s">
        <v>110</v>
      </c>
      <c r="M303" s="5">
        <v>1</v>
      </c>
      <c r="N303" s="7" t="s">
        <v>115</v>
      </c>
      <c r="O303" s="7">
        <v>1</v>
      </c>
      <c r="P303" s="5" t="s">
        <v>111</v>
      </c>
      <c r="Q303" s="5"/>
      <c r="R303" s="5" t="s">
        <v>112</v>
      </c>
      <c r="S303" s="5">
        <v>2</v>
      </c>
      <c r="T303" s="5" t="s">
        <v>924</v>
      </c>
      <c r="U303" s="5"/>
      <c r="V303" s="5" t="s">
        <v>115</v>
      </c>
      <c r="W303" s="174">
        <v>45992</v>
      </c>
      <c r="X303" s="174">
        <v>45992</v>
      </c>
      <c r="Y303" s="5"/>
      <c r="Z303" s="3" t="s">
        <v>817</v>
      </c>
      <c r="AA303" s="2" t="s">
        <v>1551</v>
      </c>
      <c r="AB303" s="3" t="s">
        <v>118</v>
      </c>
      <c r="AC303" s="3" t="s">
        <v>356</v>
      </c>
      <c r="AD303" s="50"/>
      <c r="AE303" s="50"/>
      <c r="AF303" s="12">
        <f t="shared" si="8"/>
        <v>68</v>
      </c>
      <c r="AG303" s="7">
        <v>60</v>
      </c>
      <c r="AH303" s="7"/>
      <c r="AI303" s="7">
        <v>80</v>
      </c>
      <c r="AJ303" s="7" t="s">
        <v>1209</v>
      </c>
      <c r="AK303" s="7">
        <v>60</v>
      </c>
      <c r="AL303" s="7"/>
      <c r="AM303" s="7">
        <v>80</v>
      </c>
      <c r="AN303" s="7" t="s">
        <v>865</v>
      </c>
      <c r="AO303" s="63">
        <v>5.8</v>
      </c>
      <c r="AP303" s="58">
        <v>800</v>
      </c>
      <c r="AQ303" s="58">
        <v>280</v>
      </c>
      <c r="AR303" s="58">
        <v>280</v>
      </c>
      <c r="AS303" s="30">
        <v>6496</v>
      </c>
      <c r="AT303" s="30">
        <v>4640</v>
      </c>
      <c r="AU303" s="30">
        <v>11136</v>
      </c>
      <c r="AV303" s="197">
        <v>6496</v>
      </c>
      <c r="AW303" s="197">
        <v>4640</v>
      </c>
      <c r="AX303" s="197">
        <v>11136</v>
      </c>
      <c r="AY303" s="202"/>
      <c r="AZ303" s="202"/>
      <c r="BA303" s="202">
        <v>0</v>
      </c>
      <c r="BB303" s="5" t="s">
        <v>277</v>
      </c>
      <c r="BC303" s="189"/>
      <c r="BD303" s="190">
        <v>2</v>
      </c>
      <c r="BE303" s="30"/>
      <c r="BF303" s="186"/>
      <c r="BG303" s="183"/>
      <c r="BH303" s="183"/>
    </row>
    <row r="304" spans="1:60" ht="30" hidden="1" customHeight="1">
      <c r="A304" s="115" t="s">
        <v>290</v>
      </c>
      <c r="B304" s="116" t="s">
        <v>1152</v>
      </c>
      <c r="C304" s="116" t="s">
        <v>1153</v>
      </c>
      <c r="D304" s="116"/>
      <c r="E304" s="117" t="s">
        <v>216</v>
      </c>
      <c r="F304" s="117" t="s">
        <v>217</v>
      </c>
      <c r="G304" s="116" t="s">
        <v>1553</v>
      </c>
      <c r="H304" s="119"/>
      <c r="I304" s="118"/>
      <c r="J304" s="41" t="s">
        <v>110</v>
      </c>
      <c r="K304" s="5">
        <v>1</v>
      </c>
      <c r="L304" s="41" t="s">
        <v>110</v>
      </c>
      <c r="M304" s="5">
        <v>1</v>
      </c>
      <c r="N304" s="7" t="s">
        <v>115</v>
      </c>
      <c r="O304" s="7">
        <v>1</v>
      </c>
      <c r="P304" s="5" t="s">
        <v>111</v>
      </c>
      <c r="Q304" s="5"/>
      <c r="R304" s="5" t="s">
        <v>112</v>
      </c>
      <c r="S304" s="5">
        <v>5</v>
      </c>
      <c r="T304" s="5" t="s">
        <v>295</v>
      </c>
      <c r="U304" s="5"/>
      <c r="V304" s="5" t="s">
        <v>115</v>
      </c>
      <c r="W304" s="174">
        <v>45992</v>
      </c>
      <c r="X304" s="174">
        <v>45992</v>
      </c>
      <c r="Y304" s="5"/>
      <c r="Z304" s="3" t="s">
        <v>220</v>
      </c>
      <c r="AA304" s="3" t="s">
        <v>1154</v>
      </c>
      <c r="AB304" s="3" t="s">
        <v>118</v>
      </c>
      <c r="AC304" s="3" t="s">
        <v>1554</v>
      </c>
      <c r="AD304" s="3"/>
      <c r="AE304" s="3"/>
      <c r="AF304" s="12">
        <f t="shared" si="8"/>
        <v>68</v>
      </c>
      <c r="AG304" s="7">
        <v>80</v>
      </c>
      <c r="AH304" s="7"/>
      <c r="AI304" s="7">
        <v>40</v>
      </c>
      <c r="AJ304" s="7" t="s">
        <v>1155</v>
      </c>
      <c r="AK304" s="7">
        <v>80</v>
      </c>
      <c r="AL304" s="7"/>
      <c r="AM304" s="7">
        <v>80</v>
      </c>
      <c r="AN304" s="7"/>
      <c r="AO304" s="63">
        <v>5.8</v>
      </c>
      <c r="AP304" s="58">
        <v>800</v>
      </c>
      <c r="AQ304" s="58">
        <v>270</v>
      </c>
      <c r="AR304" s="58">
        <v>270</v>
      </c>
      <c r="AS304" s="30">
        <v>10962</v>
      </c>
      <c r="AT304" s="30">
        <v>4640</v>
      </c>
      <c r="AU304" s="30">
        <v>15602</v>
      </c>
      <c r="AV304" s="197">
        <v>10962</v>
      </c>
      <c r="AW304" s="197">
        <v>4640</v>
      </c>
      <c r="AX304" s="197">
        <v>15602</v>
      </c>
      <c r="AY304" s="202"/>
      <c r="AZ304" s="202"/>
      <c r="BA304" s="202">
        <v>0</v>
      </c>
      <c r="BB304" s="189" t="s">
        <v>1555</v>
      </c>
      <c r="BC304" s="189"/>
      <c r="BD304" s="189">
        <v>2</v>
      </c>
      <c r="BE304" s="30" t="s">
        <v>968</v>
      </c>
      <c r="BF304" s="186" t="s">
        <v>969</v>
      </c>
      <c r="BG304" s="183"/>
      <c r="BH304" s="183"/>
    </row>
    <row r="305" spans="1:60" ht="30" hidden="1" customHeight="1">
      <c r="A305" s="115" t="s">
        <v>290</v>
      </c>
      <c r="B305" s="116" t="s">
        <v>1556</v>
      </c>
      <c r="C305" s="116" t="s">
        <v>1557</v>
      </c>
      <c r="D305" s="116"/>
      <c r="E305" s="117" t="s">
        <v>216</v>
      </c>
      <c r="F305" s="117" t="s">
        <v>217</v>
      </c>
      <c r="G305" s="116" t="s">
        <v>1558</v>
      </c>
      <c r="H305" s="119"/>
      <c r="I305" s="118"/>
      <c r="J305" s="41" t="s">
        <v>110</v>
      </c>
      <c r="K305" s="5">
        <v>2</v>
      </c>
      <c r="L305" s="41" t="s">
        <v>110</v>
      </c>
      <c r="M305" s="5">
        <v>1</v>
      </c>
      <c r="N305" s="7" t="s">
        <v>115</v>
      </c>
      <c r="O305" s="7">
        <v>1</v>
      </c>
      <c r="P305" s="5" t="s">
        <v>111</v>
      </c>
      <c r="Q305" s="5"/>
      <c r="R305" s="5" t="s">
        <v>112</v>
      </c>
      <c r="S305" s="5">
        <v>5</v>
      </c>
      <c r="T305" s="5" t="s">
        <v>295</v>
      </c>
      <c r="U305" s="5"/>
      <c r="V305" s="5" t="s">
        <v>115</v>
      </c>
      <c r="W305" s="175">
        <v>45992</v>
      </c>
      <c r="X305" s="175">
        <v>45992</v>
      </c>
      <c r="Y305" s="5"/>
      <c r="Z305" s="3" t="s">
        <v>220</v>
      </c>
      <c r="AA305" s="3" t="s">
        <v>1559</v>
      </c>
      <c r="AB305" s="3" t="s">
        <v>118</v>
      </c>
      <c r="AC305" s="3" t="s">
        <v>1554</v>
      </c>
      <c r="AD305" s="3"/>
      <c r="AE305" s="3"/>
      <c r="AF305" s="12">
        <f t="shared" si="8"/>
        <v>68</v>
      </c>
      <c r="AG305" s="7">
        <v>80</v>
      </c>
      <c r="AH305" s="7" t="s">
        <v>962</v>
      </c>
      <c r="AI305" s="7">
        <v>40</v>
      </c>
      <c r="AJ305" s="7" t="s">
        <v>1560</v>
      </c>
      <c r="AK305" s="7">
        <v>80</v>
      </c>
      <c r="AL305" s="7" t="s">
        <v>1561</v>
      </c>
      <c r="AM305" s="7">
        <v>80</v>
      </c>
      <c r="AN305" s="7" t="s">
        <v>1562</v>
      </c>
      <c r="AO305" s="63">
        <v>5.8</v>
      </c>
      <c r="AP305" s="58">
        <v>800</v>
      </c>
      <c r="AQ305" s="58">
        <f>AVERAGE(270,260)</f>
        <v>265</v>
      </c>
      <c r="AR305" s="58">
        <f>AVERAGE(270,260)</f>
        <v>265</v>
      </c>
      <c r="AS305" s="30">
        <v>21518</v>
      </c>
      <c r="AT305" s="30">
        <v>9280</v>
      </c>
      <c r="AU305" s="30">
        <v>30798</v>
      </c>
      <c r="AV305" s="197">
        <v>10759</v>
      </c>
      <c r="AW305" s="197">
        <v>4640</v>
      </c>
      <c r="AX305" s="197">
        <v>15399</v>
      </c>
      <c r="AY305" s="202"/>
      <c r="AZ305" s="202"/>
      <c r="BA305" s="202">
        <v>0</v>
      </c>
      <c r="BB305" s="189" t="s">
        <v>1563</v>
      </c>
      <c r="BC305" s="191"/>
      <c r="BD305" s="41">
        <v>2</v>
      </c>
      <c r="BE305" s="30" t="s">
        <v>968</v>
      </c>
      <c r="BF305" s="186" t="s">
        <v>969</v>
      </c>
      <c r="BG305" s="183"/>
      <c r="BH305" s="183"/>
    </row>
    <row r="306" spans="1:60" ht="30" hidden="1" customHeight="1">
      <c r="A306" s="115" t="s">
        <v>290</v>
      </c>
      <c r="B306" s="116" t="s">
        <v>1564</v>
      </c>
      <c r="C306" s="116" t="s">
        <v>1252</v>
      </c>
      <c r="D306" s="116"/>
      <c r="E306" s="117" t="s">
        <v>126</v>
      </c>
      <c r="F306" s="117" t="s">
        <v>127</v>
      </c>
      <c r="G306" s="116" t="s">
        <v>1565</v>
      </c>
      <c r="H306" s="119" t="s">
        <v>1566</v>
      </c>
      <c r="I306" s="118"/>
      <c r="J306" s="41" t="s">
        <v>110</v>
      </c>
      <c r="K306" s="5">
        <v>2</v>
      </c>
      <c r="L306" s="41" t="s">
        <v>110</v>
      </c>
      <c r="M306" s="5">
        <v>1</v>
      </c>
      <c r="N306" s="7"/>
      <c r="O306" s="7"/>
      <c r="P306" s="5" t="s">
        <v>111</v>
      </c>
      <c r="Q306" s="5"/>
      <c r="R306" s="5" t="s">
        <v>608</v>
      </c>
      <c r="S306" s="5">
        <v>5</v>
      </c>
      <c r="T306" s="41" t="s">
        <v>295</v>
      </c>
      <c r="U306" s="5"/>
      <c r="V306" s="5" t="s">
        <v>115</v>
      </c>
      <c r="W306" s="174">
        <v>45992</v>
      </c>
      <c r="X306" s="174">
        <v>45992</v>
      </c>
      <c r="Y306" s="5"/>
      <c r="Z306" s="3" t="s">
        <v>220</v>
      </c>
      <c r="AA306" s="3" t="s">
        <v>1567</v>
      </c>
      <c r="AB306" s="3" t="s">
        <v>118</v>
      </c>
      <c r="AC306" s="3"/>
      <c r="AD306" s="3"/>
      <c r="AE306" s="3"/>
      <c r="AF306" s="12">
        <f t="shared" si="8"/>
        <v>68</v>
      </c>
      <c r="AG306" s="7">
        <v>80</v>
      </c>
      <c r="AH306" s="7"/>
      <c r="AI306" s="7">
        <v>40</v>
      </c>
      <c r="AJ306" s="7" t="s">
        <v>1568</v>
      </c>
      <c r="AK306" s="7">
        <v>80</v>
      </c>
      <c r="AL306" s="7" t="s">
        <v>1569</v>
      </c>
      <c r="AM306" s="7">
        <v>80</v>
      </c>
      <c r="AN306" s="7"/>
      <c r="AO306" s="63">
        <v>5.8</v>
      </c>
      <c r="AP306" s="58">
        <v>800</v>
      </c>
      <c r="AQ306" s="58">
        <v>270</v>
      </c>
      <c r="AR306" s="58">
        <v>270</v>
      </c>
      <c r="AS306" s="30">
        <v>21924</v>
      </c>
      <c r="AT306" s="30">
        <v>9280</v>
      </c>
      <c r="AU306" s="30">
        <v>31204</v>
      </c>
      <c r="AV306" s="197">
        <v>10962</v>
      </c>
      <c r="AW306" s="197">
        <v>4640</v>
      </c>
      <c r="AX306" s="197">
        <v>15602</v>
      </c>
      <c r="AY306" s="202"/>
      <c r="AZ306" s="202"/>
      <c r="BA306" s="202">
        <v>0</v>
      </c>
      <c r="BB306" s="189" t="s">
        <v>1570</v>
      </c>
      <c r="BC306" s="189"/>
      <c r="BD306" s="189">
        <v>2</v>
      </c>
      <c r="BE306" s="30"/>
      <c r="BF306" s="186"/>
      <c r="BG306" s="183"/>
      <c r="BH306" s="183"/>
    </row>
    <row r="307" spans="1:60" ht="30" hidden="1" customHeight="1">
      <c r="A307" s="115" t="s">
        <v>122</v>
      </c>
      <c r="B307" s="116" t="s">
        <v>1571</v>
      </c>
      <c r="C307" s="116" t="s">
        <v>1572</v>
      </c>
      <c r="D307" s="116"/>
      <c r="E307" s="117" t="s">
        <v>264</v>
      </c>
      <c r="F307" s="117" t="s">
        <v>265</v>
      </c>
      <c r="G307" s="116" t="s">
        <v>1573</v>
      </c>
      <c r="H307" s="119"/>
      <c r="I307" s="118"/>
      <c r="J307" s="41" t="s">
        <v>110</v>
      </c>
      <c r="K307" s="5">
        <v>2</v>
      </c>
      <c r="L307" s="41" t="s">
        <v>110</v>
      </c>
      <c r="M307" s="5">
        <v>2</v>
      </c>
      <c r="N307" s="7" t="s">
        <v>115</v>
      </c>
      <c r="O307" s="7">
        <v>1</v>
      </c>
      <c r="P307" s="5" t="s">
        <v>111</v>
      </c>
      <c r="Q307" s="5"/>
      <c r="R307" s="5" t="s">
        <v>112</v>
      </c>
      <c r="S307" s="5">
        <v>4</v>
      </c>
      <c r="T307" s="5" t="s">
        <v>1574</v>
      </c>
      <c r="U307" s="5"/>
      <c r="V307" s="5"/>
      <c r="W307" s="174">
        <v>45992</v>
      </c>
      <c r="X307" s="174">
        <v>45992</v>
      </c>
      <c r="Y307" s="5"/>
      <c r="Z307" s="3" t="s">
        <v>141</v>
      </c>
      <c r="AA307" s="2" t="s">
        <v>268</v>
      </c>
      <c r="AB307" s="3" t="s">
        <v>118</v>
      </c>
      <c r="AC307" s="3" t="s">
        <v>1575</v>
      </c>
      <c r="AD307" s="50"/>
      <c r="AE307" s="50"/>
      <c r="AF307" s="12">
        <f t="shared" si="8"/>
        <v>68</v>
      </c>
      <c r="AG307" s="7">
        <v>80</v>
      </c>
      <c r="AH307" s="7"/>
      <c r="AI307" s="7">
        <v>40</v>
      </c>
      <c r="AJ307" s="7"/>
      <c r="AK307" s="7">
        <v>80</v>
      </c>
      <c r="AL307" s="7" t="s">
        <v>1576</v>
      </c>
      <c r="AM307" s="7">
        <v>80</v>
      </c>
      <c r="AN307" s="7"/>
      <c r="AO307" s="63">
        <v>5.8</v>
      </c>
      <c r="AP307" s="58">
        <v>1600</v>
      </c>
      <c r="AQ307" s="58">
        <f>AVERAGE(350,330)</f>
        <v>340</v>
      </c>
      <c r="AR307" s="58">
        <v>350</v>
      </c>
      <c r="AS307" s="30">
        <v>27608</v>
      </c>
      <c r="AT307" s="30">
        <v>18560</v>
      </c>
      <c r="AU307" s="30">
        <v>46168</v>
      </c>
      <c r="AV307" s="197">
        <v>28420</v>
      </c>
      <c r="AW307" s="197">
        <v>18560</v>
      </c>
      <c r="AX307" s="197">
        <v>46980</v>
      </c>
      <c r="AY307" s="202"/>
      <c r="AZ307" s="202"/>
      <c r="BA307" s="202">
        <v>0</v>
      </c>
      <c r="BB307" s="189" t="s">
        <v>1577</v>
      </c>
      <c r="BC307" s="189"/>
      <c r="BD307" s="190">
        <v>3</v>
      </c>
      <c r="BE307" s="30"/>
      <c r="BF307" s="186"/>
      <c r="BG307" s="183"/>
      <c r="BH307" s="183"/>
    </row>
    <row r="308" spans="1:60" ht="30" hidden="1" customHeight="1">
      <c r="A308" s="115" t="s">
        <v>122</v>
      </c>
      <c r="B308" s="116" t="s">
        <v>1336</v>
      </c>
      <c r="C308" s="116" t="s">
        <v>352</v>
      </c>
      <c r="D308" s="116"/>
      <c r="E308" s="117" t="s">
        <v>274</v>
      </c>
      <c r="F308" s="117" t="s">
        <v>275</v>
      </c>
      <c r="G308" s="116" t="s">
        <v>1578</v>
      </c>
      <c r="H308" s="119"/>
      <c r="I308" s="118"/>
      <c r="J308" s="41" t="s">
        <v>110</v>
      </c>
      <c r="K308" s="5">
        <v>0</v>
      </c>
      <c r="L308" s="41" t="s">
        <v>110</v>
      </c>
      <c r="M308" s="5">
        <v>1</v>
      </c>
      <c r="N308" s="7"/>
      <c r="O308" s="7"/>
      <c r="P308" s="5" t="s">
        <v>111</v>
      </c>
      <c r="Q308" s="5"/>
      <c r="R308" s="5" t="s">
        <v>130</v>
      </c>
      <c r="S308" s="5">
        <v>4</v>
      </c>
      <c r="T308" s="5" t="s">
        <v>1574</v>
      </c>
      <c r="U308" s="5"/>
      <c r="V308" s="5"/>
      <c r="W308" s="174">
        <v>45992</v>
      </c>
      <c r="X308" s="174">
        <v>45992</v>
      </c>
      <c r="Y308" s="5"/>
      <c r="Z308" s="3" t="s">
        <v>116</v>
      </c>
      <c r="AA308" s="2" t="s">
        <v>1432</v>
      </c>
      <c r="AB308" s="3" t="s">
        <v>118</v>
      </c>
      <c r="AC308" s="3" t="s">
        <v>1579</v>
      </c>
      <c r="AD308" s="50"/>
      <c r="AE308" s="50"/>
      <c r="AF308" s="12">
        <f t="shared" si="8"/>
        <v>66</v>
      </c>
      <c r="AG308" s="7">
        <v>80</v>
      </c>
      <c r="AH308" s="7"/>
      <c r="AI308" s="7">
        <v>60</v>
      </c>
      <c r="AJ308" s="7" t="s">
        <v>1580</v>
      </c>
      <c r="AK308" s="7">
        <v>40</v>
      </c>
      <c r="AL308" s="7" t="s">
        <v>1581</v>
      </c>
      <c r="AM308" s="7">
        <v>80</v>
      </c>
      <c r="AN308" s="7"/>
      <c r="AO308" s="63">
        <v>5.8</v>
      </c>
      <c r="AP308" s="58">
        <v>1600</v>
      </c>
      <c r="AQ308" s="58">
        <f>AVERAGE(320,310)</f>
        <v>315</v>
      </c>
      <c r="AR308" s="58">
        <v>320</v>
      </c>
      <c r="AS308" s="30">
        <v>25578</v>
      </c>
      <c r="AT308" s="30">
        <v>18560</v>
      </c>
      <c r="AU308" s="30">
        <v>44138</v>
      </c>
      <c r="AV308" s="197">
        <v>12992</v>
      </c>
      <c r="AW308" s="197">
        <v>9280</v>
      </c>
      <c r="AX308" s="197">
        <v>22272</v>
      </c>
      <c r="AY308" s="202"/>
      <c r="AZ308" s="202"/>
      <c r="BA308" s="202">
        <v>0</v>
      </c>
      <c r="BB308" s="189" t="s">
        <v>1582</v>
      </c>
      <c r="BC308" s="189"/>
      <c r="BD308" s="190">
        <v>3</v>
      </c>
      <c r="BE308" s="30"/>
      <c r="BF308" s="186"/>
      <c r="BG308" s="183"/>
      <c r="BH308" s="183"/>
    </row>
    <row r="309" spans="1:60" ht="30" hidden="1" customHeight="1">
      <c r="A309" s="115" t="s">
        <v>558</v>
      </c>
      <c r="B309" s="116" t="s">
        <v>1583</v>
      </c>
      <c r="C309" s="116" t="s">
        <v>278</v>
      </c>
      <c r="D309" s="116"/>
      <c r="E309" s="117" t="s">
        <v>434</v>
      </c>
      <c r="F309" s="117" t="s">
        <v>166</v>
      </c>
      <c r="G309" s="116"/>
      <c r="H309" s="119"/>
      <c r="I309" s="118"/>
      <c r="J309" s="41" t="s">
        <v>110</v>
      </c>
      <c r="K309" s="5">
        <v>1</v>
      </c>
      <c r="L309" s="41" t="s">
        <v>110</v>
      </c>
      <c r="M309" s="5">
        <v>1</v>
      </c>
      <c r="N309" s="7" t="s">
        <v>115</v>
      </c>
      <c r="O309" s="7">
        <v>1</v>
      </c>
      <c r="P309" s="5" t="s">
        <v>111</v>
      </c>
      <c r="Q309" s="5"/>
      <c r="R309" s="5" t="s">
        <v>112</v>
      </c>
      <c r="S309" s="5">
        <v>3</v>
      </c>
      <c r="T309" s="5" t="s">
        <v>139</v>
      </c>
      <c r="U309" s="5"/>
      <c r="V309" s="5"/>
      <c r="W309" s="174">
        <v>45992</v>
      </c>
      <c r="X309" s="174">
        <v>45992</v>
      </c>
      <c r="Y309" s="5"/>
      <c r="Z309" s="3" t="s">
        <v>524</v>
      </c>
      <c r="AA309" s="2" t="s">
        <v>1584</v>
      </c>
      <c r="AB309" s="3" t="s">
        <v>561</v>
      </c>
      <c r="AC309" s="3" t="s">
        <v>562</v>
      </c>
      <c r="AD309" s="50"/>
      <c r="AE309" s="50"/>
      <c r="AF309" s="12">
        <f t="shared" si="8"/>
        <v>66</v>
      </c>
      <c r="AG309" s="7">
        <v>60</v>
      </c>
      <c r="AH309" s="7"/>
      <c r="AI309" s="7">
        <v>80</v>
      </c>
      <c r="AJ309" s="7" t="s">
        <v>563</v>
      </c>
      <c r="AK309" s="7">
        <v>60</v>
      </c>
      <c r="AL309" s="7" t="s">
        <v>564</v>
      </c>
      <c r="AM309" s="7">
        <v>60</v>
      </c>
      <c r="AN309" s="7" t="s">
        <v>565</v>
      </c>
      <c r="AO309" s="63">
        <v>5.8</v>
      </c>
      <c r="AP309" s="58">
        <v>1600</v>
      </c>
      <c r="AQ309" s="58">
        <v>460</v>
      </c>
      <c r="AR309" s="58">
        <v>460</v>
      </c>
      <c r="AS309" s="30">
        <v>16008</v>
      </c>
      <c r="AT309" s="30">
        <v>9280</v>
      </c>
      <c r="AU309" s="30">
        <v>25288</v>
      </c>
      <c r="AV309" s="197">
        <v>16008</v>
      </c>
      <c r="AW309" s="197">
        <v>9280</v>
      </c>
      <c r="AX309" s="197">
        <v>25288</v>
      </c>
      <c r="AY309" s="202"/>
      <c r="AZ309" s="202"/>
      <c r="BA309" s="202">
        <v>0</v>
      </c>
      <c r="BB309" s="189" t="s">
        <v>1502</v>
      </c>
      <c r="BC309" s="191"/>
      <c r="BD309" s="192">
        <v>3</v>
      </c>
      <c r="BE309" s="30"/>
      <c r="BF309" s="186"/>
      <c r="BG309" s="183"/>
      <c r="BH309" s="183"/>
    </row>
    <row r="310" spans="1:60" ht="30" hidden="1" customHeight="1">
      <c r="A310" s="115" t="s">
        <v>122</v>
      </c>
      <c r="B310" s="116" t="s">
        <v>1585</v>
      </c>
      <c r="C310" s="116" t="s">
        <v>1586</v>
      </c>
      <c r="D310" s="116"/>
      <c r="E310" s="117" t="s">
        <v>216</v>
      </c>
      <c r="F310" s="117" t="s">
        <v>217</v>
      </c>
      <c r="G310" s="116" t="s">
        <v>1587</v>
      </c>
      <c r="H310" s="119"/>
      <c r="I310" s="118"/>
      <c r="J310" s="41" t="s">
        <v>110</v>
      </c>
      <c r="K310" s="5">
        <v>1</v>
      </c>
      <c r="L310" s="41" t="s">
        <v>110</v>
      </c>
      <c r="M310" s="5">
        <v>1</v>
      </c>
      <c r="N310" s="7" t="s">
        <v>115</v>
      </c>
      <c r="O310" s="7">
        <v>1</v>
      </c>
      <c r="P310" s="5" t="s">
        <v>111</v>
      </c>
      <c r="Q310" s="5"/>
      <c r="R310" s="5" t="s">
        <v>112</v>
      </c>
      <c r="S310" s="5">
        <v>5</v>
      </c>
      <c r="T310" s="5" t="s">
        <v>285</v>
      </c>
      <c r="U310" s="5"/>
      <c r="V310" s="5"/>
      <c r="W310" s="175">
        <v>45992</v>
      </c>
      <c r="X310" s="175">
        <v>45992</v>
      </c>
      <c r="Y310" s="5"/>
      <c r="Z310" s="3" t="s">
        <v>1588</v>
      </c>
      <c r="AA310" s="3" t="s">
        <v>1589</v>
      </c>
      <c r="AB310" s="3" t="s">
        <v>1590</v>
      </c>
      <c r="AC310" s="3"/>
      <c r="AD310" s="3"/>
      <c r="AE310" s="3"/>
      <c r="AF310" s="12">
        <f t="shared" si="8"/>
        <v>66</v>
      </c>
      <c r="AG310" s="7">
        <v>80</v>
      </c>
      <c r="AH310" s="7"/>
      <c r="AI310" s="7">
        <v>60</v>
      </c>
      <c r="AJ310" s="7"/>
      <c r="AK310" s="7">
        <v>40</v>
      </c>
      <c r="AL310" s="7"/>
      <c r="AM310" s="7">
        <v>80</v>
      </c>
      <c r="AN310" s="7"/>
      <c r="AO310" s="63">
        <v>5.8</v>
      </c>
      <c r="AP310" s="58">
        <v>1600</v>
      </c>
      <c r="AQ310" s="58">
        <v>310</v>
      </c>
      <c r="AR310" s="58">
        <v>310</v>
      </c>
      <c r="AS310" s="30">
        <v>14384</v>
      </c>
      <c r="AT310" s="30">
        <v>9280</v>
      </c>
      <c r="AU310" s="30">
        <v>23664</v>
      </c>
      <c r="AV310" s="197">
        <v>14384</v>
      </c>
      <c r="AW310" s="197">
        <v>9280</v>
      </c>
      <c r="AX310" s="197">
        <v>23664</v>
      </c>
      <c r="AY310" s="202"/>
      <c r="AZ310" s="202"/>
      <c r="BA310" s="202">
        <v>0</v>
      </c>
      <c r="BB310" s="189" t="s">
        <v>1591</v>
      </c>
      <c r="BC310" s="191"/>
      <c r="BD310" s="41">
        <v>3</v>
      </c>
      <c r="BE310" s="30" t="s">
        <v>504</v>
      </c>
      <c r="BF310" s="186"/>
      <c r="BG310" s="183"/>
      <c r="BH310" s="183"/>
    </row>
    <row r="311" spans="1:60" ht="30" hidden="1" customHeight="1">
      <c r="A311" s="115" t="s">
        <v>476</v>
      </c>
      <c r="B311" s="116" t="s">
        <v>1592</v>
      </c>
      <c r="C311" s="116" t="s">
        <v>1593</v>
      </c>
      <c r="D311" s="116"/>
      <c r="E311" s="117" t="s">
        <v>176</v>
      </c>
      <c r="F311" s="117" t="s">
        <v>651</v>
      </c>
      <c r="G311" s="116" t="s">
        <v>1594</v>
      </c>
      <c r="H311" s="119"/>
      <c r="I311" s="118"/>
      <c r="J311" s="41" t="s">
        <v>110</v>
      </c>
      <c r="K311" s="5">
        <v>2</v>
      </c>
      <c r="L311" s="41" t="s">
        <v>110</v>
      </c>
      <c r="M311" s="5">
        <v>2</v>
      </c>
      <c r="N311" s="7" t="s">
        <v>115</v>
      </c>
      <c r="O311" s="7">
        <v>2</v>
      </c>
      <c r="P311" s="5" t="s">
        <v>111</v>
      </c>
      <c r="Q311" s="5"/>
      <c r="R311" s="5" t="s">
        <v>112</v>
      </c>
      <c r="S311" s="5">
        <v>2</v>
      </c>
      <c r="T311" s="5" t="s">
        <v>139</v>
      </c>
      <c r="U311" s="5"/>
      <c r="V311" s="5"/>
      <c r="W311" s="174">
        <v>45992</v>
      </c>
      <c r="X311" s="174">
        <v>45992</v>
      </c>
      <c r="Y311" s="5"/>
      <c r="Z311" s="3" t="s">
        <v>141</v>
      </c>
      <c r="AA311" s="3" t="s">
        <v>1595</v>
      </c>
      <c r="AB311" s="3" t="s">
        <v>118</v>
      </c>
      <c r="AC311" s="3" t="s">
        <v>1256</v>
      </c>
      <c r="AD311" s="3"/>
      <c r="AE311" s="3"/>
      <c r="AF311" s="12">
        <f t="shared" si="8"/>
        <v>66</v>
      </c>
      <c r="AG311" s="7">
        <v>60</v>
      </c>
      <c r="AH311" s="7"/>
      <c r="AI311" s="7">
        <v>60</v>
      </c>
      <c r="AJ311" s="7"/>
      <c r="AK311" s="7">
        <v>80</v>
      </c>
      <c r="AL311" s="7" t="s">
        <v>192</v>
      </c>
      <c r="AM311" s="7">
        <v>80</v>
      </c>
      <c r="AN311" s="7"/>
      <c r="AO311" s="63">
        <v>5.8</v>
      </c>
      <c r="AP311" s="58">
        <v>1600</v>
      </c>
      <c r="AQ311" s="58">
        <v>390</v>
      </c>
      <c r="AR311" s="58">
        <v>390</v>
      </c>
      <c r="AS311" s="30">
        <v>22620</v>
      </c>
      <c r="AT311" s="30">
        <v>18560</v>
      </c>
      <c r="AU311" s="30">
        <v>41180</v>
      </c>
      <c r="AV311" s="197">
        <v>22620</v>
      </c>
      <c r="AW311" s="197">
        <v>18560</v>
      </c>
      <c r="AX311" s="197">
        <v>41180</v>
      </c>
      <c r="AY311" s="202"/>
      <c r="AZ311" s="202"/>
      <c r="BA311" s="202">
        <v>0</v>
      </c>
      <c r="BB311" s="189" t="s">
        <v>1596</v>
      </c>
      <c r="BC311" s="189"/>
      <c r="BD311" s="189">
        <v>3</v>
      </c>
      <c r="BE311" s="30" t="s">
        <v>1597</v>
      </c>
      <c r="BF311" s="186"/>
      <c r="BG311" s="183"/>
      <c r="BH311" s="183"/>
    </row>
    <row r="312" spans="1:60" ht="30" hidden="1" customHeight="1">
      <c r="A312" s="168" t="s">
        <v>723</v>
      </c>
      <c r="B312" s="116" t="s">
        <v>1598</v>
      </c>
      <c r="C312" s="116">
        <v>2025</v>
      </c>
      <c r="D312" s="116" t="s">
        <v>1599</v>
      </c>
      <c r="E312" s="117" t="s">
        <v>201</v>
      </c>
      <c r="F312" s="117" t="s">
        <v>166</v>
      </c>
      <c r="G312" s="116" t="s">
        <v>1600</v>
      </c>
      <c r="H312" s="119"/>
      <c r="I312" s="118"/>
      <c r="J312" s="41" t="s">
        <v>110</v>
      </c>
      <c r="K312" s="5">
        <v>1</v>
      </c>
      <c r="L312" s="41" t="s">
        <v>110</v>
      </c>
      <c r="M312" s="5">
        <v>1</v>
      </c>
      <c r="N312" s="7"/>
      <c r="O312" s="7"/>
      <c r="P312" s="5" t="s">
        <v>111</v>
      </c>
      <c r="Q312" s="5"/>
      <c r="R312" s="5" t="s">
        <v>112</v>
      </c>
      <c r="S312" s="5">
        <v>3</v>
      </c>
      <c r="T312" s="5" t="s">
        <v>801</v>
      </c>
      <c r="U312" s="5"/>
      <c r="V312" s="5"/>
      <c r="W312" s="175">
        <v>45992</v>
      </c>
      <c r="X312" s="175">
        <v>45992</v>
      </c>
      <c r="Y312" s="5"/>
      <c r="Z312" s="3" t="s">
        <v>817</v>
      </c>
      <c r="AA312" s="2"/>
      <c r="AB312" s="3" t="s">
        <v>118</v>
      </c>
      <c r="AC312" s="3"/>
      <c r="AD312" s="50"/>
      <c r="AE312" s="50"/>
      <c r="AF312" s="12">
        <f t="shared" si="8"/>
        <v>64</v>
      </c>
      <c r="AG312" s="7">
        <v>60</v>
      </c>
      <c r="AH312" s="7"/>
      <c r="AI312" s="7">
        <v>80</v>
      </c>
      <c r="AJ312" s="7"/>
      <c r="AK312" s="7">
        <v>40</v>
      </c>
      <c r="AL312" s="7"/>
      <c r="AM312" s="7">
        <v>80</v>
      </c>
      <c r="AN312" s="7"/>
      <c r="AO312" s="63">
        <v>5.8</v>
      </c>
      <c r="AP312" s="58">
        <v>1600</v>
      </c>
      <c r="AQ312" s="58">
        <v>460</v>
      </c>
      <c r="AR312" s="58">
        <v>460</v>
      </c>
      <c r="AS312" s="30">
        <v>16008</v>
      </c>
      <c r="AT312" s="30">
        <v>9280</v>
      </c>
      <c r="AU312" s="30">
        <v>25288</v>
      </c>
      <c r="AV312" s="197">
        <v>16008</v>
      </c>
      <c r="AW312" s="197">
        <v>9280</v>
      </c>
      <c r="AX312" s="197">
        <v>25288</v>
      </c>
      <c r="AY312" s="202"/>
      <c r="AZ312" s="202"/>
      <c r="BA312" s="202">
        <v>0</v>
      </c>
      <c r="BB312" s="189" t="s">
        <v>893</v>
      </c>
      <c r="BC312" s="191"/>
      <c r="BD312" s="192">
        <v>3</v>
      </c>
      <c r="BE312" s="30"/>
      <c r="BF312" s="186"/>
      <c r="BG312" s="183"/>
      <c r="BH312" s="183"/>
    </row>
    <row r="313" spans="1:60" ht="30" hidden="1" customHeight="1">
      <c r="A313" s="115" t="s">
        <v>1601</v>
      </c>
      <c r="B313" s="116" t="s">
        <v>1602</v>
      </c>
      <c r="C313" s="116" t="s">
        <v>1603</v>
      </c>
      <c r="D313" s="116"/>
      <c r="E313" s="117" t="s">
        <v>1604</v>
      </c>
      <c r="F313" s="117" t="s">
        <v>1605</v>
      </c>
      <c r="G313" s="116" t="s">
        <v>1606</v>
      </c>
      <c r="H313" s="119"/>
      <c r="I313" s="118"/>
      <c r="J313" s="41" t="s">
        <v>110</v>
      </c>
      <c r="K313" s="5">
        <v>2</v>
      </c>
      <c r="L313" s="41" t="s">
        <v>110</v>
      </c>
      <c r="M313" s="5">
        <v>1</v>
      </c>
      <c r="N313" s="7"/>
      <c r="O313" s="7"/>
      <c r="P313" s="5" t="s">
        <v>111</v>
      </c>
      <c r="Q313" s="5"/>
      <c r="R313" s="5" t="s">
        <v>112</v>
      </c>
      <c r="S313" s="5">
        <v>4</v>
      </c>
      <c r="T313" s="5" t="s">
        <v>139</v>
      </c>
      <c r="U313" s="5"/>
      <c r="V313" s="5"/>
      <c r="W313" s="175">
        <v>45992</v>
      </c>
      <c r="X313" s="175">
        <v>45992</v>
      </c>
      <c r="Y313" s="5"/>
      <c r="Z313" s="3" t="s">
        <v>267</v>
      </c>
      <c r="AA313" s="2" t="s">
        <v>1607</v>
      </c>
      <c r="AB313" s="3" t="s">
        <v>118</v>
      </c>
      <c r="AC313" s="3"/>
      <c r="AD313" s="50"/>
      <c r="AE313" s="50"/>
      <c r="AF313" s="12">
        <f t="shared" si="8"/>
        <v>64</v>
      </c>
      <c r="AG313" s="7">
        <v>60</v>
      </c>
      <c r="AH313" s="7"/>
      <c r="AI313" s="7">
        <v>80</v>
      </c>
      <c r="AJ313" s="7"/>
      <c r="AK313" s="7">
        <v>40</v>
      </c>
      <c r="AL313" s="7"/>
      <c r="AM313" s="7">
        <v>80</v>
      </c>
      <c r="AN313" s="7"/>
      <c r="AO313" s="63">
        <v>5.8</v>
      </c>
      <c r="AP313" s="58">
        <v>1600</v>
      </c>
      <c r="AQ313" s="58">
        <f>AVERAGE(460,420)</f>
        <v>440</v>
      </c>
      <c r="AR313" s="58">
        <v>460</v>
      </c>
      <c r="AS313" s="30">
        <v>35728</v>
      </c>
      <c r="AT313" s="30">
        <v>18560</v>
      </c>
      <c r="AU313" s="30">
        <v>54288</v>
      </c>
      <c r="AV313" s="197">
        <v>18676</v>
      </c>
      <c r="AW313" s="197">
        <v>9280</v>
      </c>
      <c r="AX313" s="197">
        <v>27956</v>
      </c>
      <c r="AY313" s="202"/>
      <c r="AZ313" s="202"/>
      <c r="BA313" s="202">
        <v>0</v>
      </c>
      <c r="BB313" s="189" t="s">
        <v>1608</v>
      </c>
      <c r="BC313" s="191"/>
      <c r="BD313" s="192">
        <v>3</v>
      </c>
      <c r="BE313" s="30"/>
      <c r="BF313" s="186"/>
      <c r="BG313" s="183"/>
      <c r="BH313" s="183"/>
    </row>
    <row r="314" spans="1:60" ht="30" hidden="1" customHeight="1">
      <c r="A314" s="115" t="s">
        <v>239</v>
      </c>
      <c r="B314" s="116" t="s">
        <v>1609</v>
      </c>
      <c r="C314" s="116" t="s">
        <v>649</v>
      </c>
      <c r="D314" s="116"/>
      <c r="E314" s="117" t="s">
        <v>176</v>
      </c>
      <c r="F314" s="117" t="s">
        <v>651</v>
      </c>
      <c r="G314" s="116"/>
      <c r="H314" s="119"/>
      <c r="I314" s="118"/>
      <c r="J314" s="41" t="s">
        <v>110</v>
      </c>
      <c r="K314" s="5">
        <v>1</v>
      </c>
      <c r="L314" s="41" t="s">
        <v>110</v>
      </c>
      <c r="M314" s="5">
        <v>1</v>
      </c>
      <c r="N314" s="7"/>
      <c r="O314" s="7"/>
      <c r="P314" s="5" t="s">
        <v>111</v>
      </c>
      <c r="Q314" s="5"/>
      <c r="R314" s="5" t="s">
        <v>112</v>
      </c>
      <c r="S314" s="5">
        <v>3</v>
      </c>
      <c r="T314" s="5" t="s">
        <v>139</v>
      </c>
      <c r="U314" s="5"/>
      <c r="V314" s="5"/>
      <c r="W314" s="175">
        <v>45992</v>
      </c>
      <c r="X314" s="175">
        <v>45992</v>
      </c>
      <c r="Y314" s="5"/>
      <c r="Z314" s="3" t="s">
        <v>141</v>
      </c>
      <c r="AA314" s="3" t="s">
        <v>653</v>
      </c>
      <c r="AB314" s="3" t="s">
        <v>118</v>
      </c>
      <c r="AC314" s="3" t="s">
        <v>654</v>
      </c>
      <c r="AD314" s="3"/>
      <c r="AE314" s="3"/>
      <c r="AF314" s="12">
        <f t="shared" si="8"/>
        <v>64</v>
      </c>
      <c r="AG314" s="7">
        <v>60</v>
      </c>
      <c r="AH314" s="7" t="s">
        <v>655</v>
      </c>
      <c r="AI314" s="7">
        <v>80</v>
      </c>
      <c r="AJ314" s="7" t="s">
        <v>656</v>
      </c>
      <c r="AK314" s="7">
        <v>40</v>
      </c>
      <c r="AL314" s="7" t="s">
        <v>657</v>
      </c>
      <c r="AM314" s="7">
        <v>80</v>
      </c>
      <c r="AN314" s="7" t="s">
        <v>658</v>
      </c>
      <c r="AO314" s="63">
        <v>5.8</v>
      </c>
      <c r="AP314" s="58">
        <v>1600</v>
      </c>
      <c r="AQ314" s="58">
        <v>420</v>
      </c>
      <c r="AR314" s="58">
        <v>420</v>
      </c>
      <c r="AS314" s="30">
        <v>14616</v>
      </c>
      <c r="AT314" s="30">
        <v>9280</v>
      </c>
      <c r="AU314" s="30">
        <v>23896</v>
      </c>
      <c r="AV314" s="197">
        <v>14616</v>
      </c>
      <c r="AW314" s="197">
        <v>9280</v>
      </c>
      <c r="AX314" s="197">
        <v>23896</v>
      </c>
      <c r="AY314" s="202"/>
      <c r="AZ314" s="202"/>
      <c r="BA314" s="202">
        <v>0</v>
      </c>
      <c r="BB314" s="189" t="s">
        <v>686</v>
      </c>
      <c r="BC314" s="189"/>
      <c r="BD314" s="189">
        <v>3</v>
      </c>
      <c r="BE314" s="30" t="s">
        <v>661</v>
      </c>
      <c r="BF314" s="186"/>
      <c r="BG314" s="183"/>
      <c r="BH314" s="183"/>
    </row>
    <row r="315" spans="1:60" ht="30" hidden="1" customHeight="1">
      <c r="A315" s="115" t="s">
        <v>239</v>
      </c>
      <c r="B315" s="116" t="s">
        <v>1610</v>
      </c>
      <c r="C315" s="116" t="s">
        <v>649</v>
      </c>
      <c r="D315" s="116"/>
      <c r="E315" s="117" t="s">
        <v>176</v>
      </c>
      <c r="F315" s="117" t="s">
        <v>651</v>
      </c>
      <c r="G315" s="116"/>
      <c r="H315" s="119"/>
      <c r="I315" s="118"/>
      <c r="J315" s="41" t="s">
        <v>110</v>
      </c>
      <c r="K315" s="5">
        <v>1</v>
      </c>
      <c r="L315" s="41" t="s">
        <v>110</v>
      </c>
      <c r="M315" s="5">
        <v>1</v>
      </c>
      <c r="N315" s="7"/>
      <c r="O315" s="7"/>
      <c r="P315" s="5" t="s">
        <v>111</v>
      </c>
      <c r="Q315" s="5"/>
      <c r="R315" s="5" t="s">
        <v>112</v>
      </c>
      <c r="S315" s="5">
        <v>3</v>
      </c>
      <c r="T315" s="5" t="s">
        <v>139</v>
      </c>
      <c r="U315" s="5"/>
      <c r="V315" s="5"/>
      <c r="W315" s="174">
        <v>45992</v>
      </c>
      <c r="X315" s="174">
        <v>45992</v>
      </c>
      <c r="Y315" s="5"/>
      <c r="Z315" s="3" t="s">
        <v>141</v>
      </c>
      <c r="AA315" s="3" t="s">
        <v>653</v>
      </c>
      <c r="AB315" s="3" t="s">
        <v>118</v>
      </c>
      <c r="AC315" s="3" t="s">
        <v>654</v>
      </c>
      <c r="AD315" s="3"/>
      <c r="AE315" s="3"/>
      <c r="AF315" s="12">
        <f t="shared" si="8"/>
        <v>64</v>
      </c>
      <c r="AG315" s="7">
        <v>60</v>
      </c>
      <c r="AH315" s="7" t="s">
        <v>655</v>
      </c>
      <c r="AI315" s="7">
        <v>80</v>
      </c>
      <c r="AJ315" s="7" t="s">
        <v>656</v>
      </c>
      <c r="AK315" s="7">
        <v>40</v>
      </c>
      <c r="AL315" s="7" t="s">
        <v>657</v>
      </c>
      <c r="AM315" s="7">
        <v>80</v>
      </c>
      <c r="AN315" s="7" t="s">
        <v>658</v>
      </c>
      <c r="AO315" s="63">
        <v>5.8</v>
      </c>
      <c r="AP315" s="58">
        <v>1600</v>
      </c>
      <c r="AQ315" s="58">
        <v>420</v>
      </c>
      <c r="AR315" s="58">
        <v>420</v>
      </c>
      <c r="AS315" s="30">
        <v>14616</v>
      </c>
      <c r="AT315" s="30">
        <v>9280</v>
      </c>
      <c r="AU315" s="30">
        <v>23896</v>
      </c>
      <c r="AV315" s="197">
        <v>14616</v>
      </c>
      <c r="AW315" s="197">
        <v>9280</v>
      </c>
      <c r="AX315" s="197">
        <v>23896</v>
      </c>
      <c r="AY315" s="202"/>
      <c r="AZ315" s="202"/>
      <c r="BA315" s="202">
        <v>0</v>
      </c>
      <c r="BB315" s="189" t="s">
        <v>686</v>
      </c>
      <c r="BC315" s="189"/>
      <c r="BD315" s="189">
        <v>3</v>
      </c>
      <c r="BE315" s="30" t="s">
        <v>661</v>
      </c>
      <c r="BF315" s="186"/>
      <c r="BG315" s="183"/>
      <c r="BH315" s="183"/>
    </row>
    <row r="316" spans="1:60" ht="30" hidden="1" customHeight="1">
      <c r="A316" s="115" t="s">
        <v>122</v>
      </c>
      <c r="B316" s="116" t="s">
        <v>1611</v>
      </c>
      <c r="C316" s="116" t="s">
        <v>278</v>
      </c>
      <c r="D316" s="116"/>
      <c r="E316" s="117" t="s">
        <v>176</v>
      </c>
      <c r="F316" s="117" t="s">
        <v>651</v>
      </c>
      <c r="G316" s="116" t="s">
        <v>1612</v>
      </c>
      <c r="H316" s="119"/>
      <c r="I316" s="118"/>
      <c r="J316" s="41" t="s">
        <v>110</v>
      </c>
      <c r="K316" s="5">
        <v>1</v>
      </c>
      <c r="L316" s="41" t="s">
        <v>110</v>
      </c>
      <c r="M316" s="5">
        <v>1</v>
      </c>
      <c r="N316" s="7"/>
      <c r="O316" s="7"/>
      <c r="P316" s="5" t="s">
        <v>111</v>
      </c>
      <c r="Q316" s="5"/>
      <c r="R316" s="5" t="s">
        <v>112</v>
      </c>
      <c r="S316" s="5">
        <v>5</v>
      </c>
      <c r="T316" s="5" t="s">
        <v>801</v>
      </c>
      <c r="U316" s="5"/>
      <c r="V316" s="5"/>
      <c r="W316" s="175">
        <v>45992</v>
      </c>
      <c r="X316" s="175">
        <v>45992</v>
      </c>
      <c r="Y316" s="5"/>
      <c r="Z316" s="3" t="s">
        <v>141</v>
      </c>
      <c r="AA316" s="3" t="s">
        <v>1613</v>
      </c>
      <c r="AB316" s="3" t="s">
        <v>118</v>
      </c>
      <c r="AC316" s="3" t="s">
        <v>683</v>
      </c>
      <c r="AD316" s="3"/>
      <c r="AE316" s="3"/>
      <c r="AF316" s="12">
        <f t="shared" si="8"/>
        <v>64</v>
      </c>
      <c r="AG316" s="7">
        <v>60</v>
      </c>
      <c r="AH316" s="7"/>
      <c r="AI316" s="7">
        <v>80</v>
      </c>
      <c r="AJ316" s="7"/>
      <c r="AK316" s="7">
        <v>40</v>
      </c>
      <c r="AL316" s="7"/>
      <c r="AM316" s="7">
        <v>80</v>
      </c>
      <c r="AN316" s="7"/>
      <c r="AO316" s="63">
        <v>5.8</v>
      </c>
      <c r="AP316" s="58">
        <v>1600</v>
      </c>
      <c r="AQ316" s="58">
        <v>370</v>
      </c>
      <c r="AR316" s="58">
        <v>370</v>
      </c>
      <c r="AS316" s="30">
        <v>17168</v>
      </c>
      <c r="AT316" s="30">
        <v>9280</v>
      </c>
      <c r="AU316" s="30">
        <v>26448</v>
      </c>
      <c r="AV316" s="197">
        <v>17168</v>
      </c>
      <c r="AW316" s="197">
        <v>9280</v>
      </c>
      <c r="AX316" s="197">
        <v>26448</v>
      </c>
      <c r="AY316" s="202"/>
      <c r="AZ316" s="202"/>
      <c r="BA316" s="202">
        <v>0</v>
      </c>
      <c r="BB316" s="189" t="s">
        <v>1614</v>
      </c>
      <c r="BC316" s="189"/>
      <c r="BD316" s="189">
        <v>3</v>
      </c>
      <c r="BE316" s="30" t="s">
        <v>1597</v>
      </c>
      <c r="BF316" s="186"/>
      <c r="BG316" s="183"/>
      <c r="BH316" s="183"/>
    </row>
    <row r="317" spans="1:60" ht="30" hidden="1" customHeight="1">
      <c r="A317" s="115" t="s">
        <v>1383</v>
      </c>
      <c r="B317" s="120" t="s">
        <v>1615</v>
      </c>
      <c r="C317" s="116" t="s">
        <v>1616</v>
      </c>
      <c r="D317" s="116" t="s">
        <v>1617</v>
      </c>
      <c r="E317" s="117" t="s">
        <v>339</v>
      </c>
      <c r="F317" s="117" t="s">
        <v>340</v>
      </c>
      <c r="G317" s="120"/>
      <c r="H317" s="121"/>
      <c r="I317" s="41" t="s">
        <v>341</v>
      </c>
      <c r="J317" s="41" t="s">
        <v>110</v>
      </c>
      <c r="K317" s="5">
        <v>1</v>
      </c>
      <c r="L317" s="41" t="s">
        <v>110</v>
      </c>
      <c r="M317" s="5">
        <v>1</v>
      </c>
      <c r="N317" s="7" t="s">
        <v>115</v>
      </c>
      <c r="O317" s="7">
        <v>1</v>
      </c>
      <c r="P317" s="5" t="s">
        <v>111</v>
      </c>
      <c r="Q317" s="5"/>
      <c r="R317" s="5" t="s">
        <v>112</v>
      </c>
      <c r="S317" s="5">
        <v>2</v>
      </c>
      <c r="T317" s="5" t="s">
        <v>295</v>
      </c>
      <c r="U317" s="5" t="s">
        <v>296</v>
      </c>
      <c r="V317" s="5" t="s">
        <v>115</v>
      </c>
      <c r="W317" s="174">
        <v>45805</v>
      </c>
      <c r="X317" s="174">
        <v>45806</v>
      </c>
      <c r="Y317" s="5"/>
      <c r="Z317" s="3" t="s">
        <v>817</v>
      </c>
      <c r="AA317" s="3" t="s">
        <v>1618</v>
      </c>
      <c r="AB317" s="3" t="s">
        <v>517</v>
      </c>
      <c r="AC317" s="3" t="s">
        <v>1389</v>
      </c>
      <c r="AD317" s="3"/>
      <c r="AE317" s="3"/>
      <c r="AF317" s="12">
        <f t="shared" si="8"/>
        <v>88</v>
      </c>
      <c r="AG317" s="7">
        <v>80</v>
      </c>
      <c r="AH317" s="7"/>
      <c r="AI317" s="7">
        <v>100</v>
      </c>
      <c r="AJ317" s="7" t="s">
        <v>1619</v>
      </c>
      <c r="AK317" s="7">
        <v>80</v>
      </c>
      <c r="AL317" s="7"/>
      <c r="AM317" s="7">
        <v>100</v>
      </c>
      <c r="AN317" s="7" t="s">
        <v>348</v>
      </c>
      <c r="AO317" s="63">
        <v>5.8</v>
      </c>
      <c r="AP317" s="58">
        <v>800</v>
      </c>
      <c r="AQ317" s="58">
        <v>330</v>
      </c>
      <c r="AR317" s="58">
        <v>330</v>
      </c>
      <c r="AS317" s="30">
        <v>7656</v>
      </c>
      <c r="AT317" s="30">
        <v>4640</v>
      </c>
      <c r="AU317" s="30">
        <v>12296</v>
      </c>
      <c r="AV317" s="197">
        <v>7656</v>
      </c>
      <c r="AW317" s="197">
        <v>4640</v>
      </c>
      <c r="AX317" s="197">
        <v>12296</v>
      </c>
      <c r="AY317" s="202">
        <v>4763.8599999999997</v>
      </c>
      <c r="AZ317" s="202">
        <v>4132.1400000000003</v>
      </c>
      <c r="BA317" s="202">
        <f>4763.86+4132.14</f>
        <v>8896</v>
      </c>
      <c r="BB317" s="189" t="s">
        <v>349</v>
      </c>
      <c r="BC317" s="191" t="s">
        <v>1620</v>
      </c>
      <c r="BD317" s="41">
        <v>2</v>
      </c>
      <c r="BE317" s="30"/>
      <c r="BF317" s="186"/>
      <c r="BG317" s="183"/>
      <c r="BH317" s="183"/>
    </row>
    <row r="318" spans="1:60" ht="30" hidden="1" customHeight="1">
      <c r="A318" s="115" t="s">
        <v>1621</v>
      </c>
      <c r="B318" s="116" t="s">
        <v>1622</v>
      </c>
      <c r="C318" s="116" t="s">
        <v>1241</v>
      </c>
      <c r="D318" s="116"/>
      <c r="E318" s="117" t="s">
        <v>176</v>
      </c>
      <c r="F318" s="117" t="s">
        <v>152</v>
      </c>
      <c r="G318" s="116" t="s">
        <v>1623</v>
      </c>
      <c r="H318" s="119"/>
      <c r="I318" s="118"/>
      <c r="J318" s="41" t="s">
        <v>1624</v>
      </c>
      <c r="K318" s="5">
        <v>0</v>
      </c>
      <c r="L318" s="41" t="s">
        <v>1624</v>
      </c>
      <c r="M318" s="5">
        <v>0</v>
      </c>
      <c r="N318" s="7"/>
      <c r="O318" s="7"/>
      <c r="P318" s="5" t="s">
        <v>111</v>
      </c>
      <c r="Q318" s="5"/>
      <c r="R318" s="5" t="s">
        <v>112</v>
      </c>
      <c r="S318" s="5">
        <v>10</v>
      </c>
      <c r="T318" s="5" t="s">
        <v>139</v>
      </c>
      <c r="U318" s="5"/>
      <c r="V318" s="5"/>
      <c r="W318" s="174">
        <v>45992</v>
      </c>
      <c r="X318" s="174">
        <v>45992</v>
      </c>
      <c r="Y318" s="5"/>
      <c r="Z318" s="3" t="s">
        <v>141</v>
      </c>
      <c r="AA318" s="3" t="s">
        <v>1625</v>
      </c>
      <c r="AB318" s="3" t="s">
        <v>118</v>
      </c>
      <c r="AC318" s="3"/>
      <c r="AD318" s="3"/>
      <c r="AE318" s="3"/>
      <c r="AF318" s="12">
        <f t="shared" si="8"/>
        <v>64</v>
      </c>
      <c r="AG318" s="7">
        <v>60</v>
      </c>
      <c r="AH318" s="7"/>
      <c r="AI318" s="7">
        <v>80</v>
      </c>
      <c r="AJ318" s="7"/>
      <c r="AK318" s="7">
        <v>40</v>
      </c>
      <c r="AL318" s="7"/>
      <c r="AM318" s="7">
        <v>80</v>
      </c>
      <c r="AN318" s="7"/>
      <c r="AO318" s="63">
        <v>5.8</v>
      </c>
      <c r="AP318" s="58">
        <v>1600</v>
      </c>
      <c r="AQ318" s="58"/>
      <c r="AR318" s="58"/>
      <c r="AS318" s="30">
        <v>0</v>
      </c>
      <c r="AT318" s="30">
        <v>0</v>
      </c>
      <c r="AU318" s="30">
        <v>0</v>
      </c>
      <c r="AV318" s="197">
        <v>0</v>
      </c>
      <c r="AW318" s="197">
        <v>0</v>
      </c>
      <c r="AX318" s="197">
        <v>0</v>
      </c>
      <c r="AY318" s="202"/>
      <c r="AZ318" s="202"/>
      <c r="BA318" s="202">
        <v>0</v>
      </c>
      <c r="BB318" s="189" t="s">
        <v>1119</v>
      </c>
      <c r="BC318" s="189"/>
      <c r="BD318" s="189">
        <v>3</v>
      </c>
      <c r="BE318" s="30" t="s">
        <v>182</v>
      </c>
      <c r="BF318" s="186"/>
      <c r="BG318" s="183"/>
      <c r="BH318" s="183"/>
    </row>
    <row r="319" spans="1:60" ht="30" hidden="1" customHeight="1">
      <c r="A319" s="115" t="s">
        <v>1282</v>
      </c>
      <c r="B319" s="116" t="s">
        <v>1626</v>
      </c>
      <c r="C319" s="116" t="s">
        <v>1282</v>
      </c>
      <c r="D319" s="116"/>
      <c r="E319" s="117" t="s">
        <v>216</v>
      </c>
      <c r="F319" s="117" t="s">
        <v>217</v>
      </c>
      <c r="G319" s="116" t="s">
        <v>1627</v>
      </c>
      <c r="H319" s="119"/>
      <c r="I319" s="118"/>
      <c r="J319" s="41" t="s">
        <v>110</v>
      </c>
      <c r="K319" s="5">
        <v>1</v>
      </c>
      <c r="L319" s="41" t="s">
        <v>110</v>
      </c>
      <c r="M319" s="5">
        <v>1</v>
      </c>
      <c r="N319" s="7"/>
      <c r="O319" s="7"/>
      <c r="P319" s="5" t="s">
        <v>111</v>
      </c>
      <c r="Q319" s="5"/>
      <c r="R319" s="5" t="s">
        <v>112</v>
      </c>
      <c r="S319" s="5">
        <v>5</v>
      </c>
      <c r="T319" s="5" t="s">
        <v>801</v>
      </c>
      <c r="U319" s="5"/>
      <c r="V319" s="5"/>
      <c r="W319" s="174">
        <v>45992</v>
      </c>
      <c r="X319" s="174">
        <v>45992</v>
      </c>
      <c r="Y319" s="5"/>
      <c r="Z319" s="3" t="s">
        <v>1628</v>
      </c>
      <c r="AA319" s="3" t="s">
        <v>1629</v>
      </c>
      <c r="AB319" s="3"/>
      <c r="AC319" s="3"/>
      <c r="AD319" s="3"/>
      <c r="AE319" s="3"/>
      <c r="AF319" s="12">
        <f t="shared" si="8"/>
        <v>64</v>
      </c>
      <c r="AG319" s="7">
        <v>60</v>
      </c>
      <c r="AH319" s="7"/>
      <c r="AI319" s="7">
        <v>80</v>
      </c>
      <c r="AJ319" s="7" t="s">
        <v>1630</v>
      </c>
      <c r="AK319" s="7">
        <v>40</v>
      </c>
      <c r="AL319" s="7"/>
      <c r="AM319" s="7">
        <v>80</v>
      </c>
      <c r="AN319" s="7" t="s">
        <v>1631</v>
      </c>
      <c r="AO319" s="63">
        <v>5.8</v>
      </c>
      <c r="AP319" s="58">
        <v>1600</v>
      </c>
      <c r="AQ319" s="58">
        <v>390</v>
      </c>
      <c r="AR319" s="58">
        <v>390</v>
      </c>
      <c r="AS319" s="30">
        <v>18096</v>
      </c>
      <c r="AT319" s="30">
        <v>9280</v>
      </c>
      <c r="AU319" s="30">
        <v>27376</v>
      </c>
      <c r="AV319" s="197">
        <v>18096</v>
      </c>
      <c r="AW319" s="197">
        <v>9280</v>
      </c>
      <c r="AX319" s="197">
        <v>27376</v>
      </c>
      <c r="AY319" s="202"/>
      <c r="AZ319" s="202"/>
      <c r="BA319" s="202">
        <v>0</v>
      </c>
      <c r="BB319" s="189" t="s">
        <v>503</v>
      </c>
      <c r="BC319" s="191"/>
      <c r="BD319" s="41">
        <v>3</v>
      </c>
      <c r="BE319" s="30" t="s">
        <v>504</v>
      </c>
      <c r="BF319" s="186"/>
      <c r="BG319" s="183"/>
      <c r="BH319" s="183"/>
    </row>
    <row r="320" spans="1:60" ht="30" hidden="1" customHeight="1">
      <c r="A320" s="115" t="s">
        <v>122</v>
      </c>
      <c r="B320" s="116" t="s">
        <v>1632</v>
      </c>
      <c r="C320" s="116" t="s">
        <v>1633</v>
      </c>
      <c r="D320" s="116"/>
      <c r="E320" s="117" t="s">
        <v>165</v>
      </c>
      <c r="F320" s="117" t="s">
        <v>166</v>
      </c>
      <c r="G320" s="116" t="s">
        <v>1634</v>
      </c>
      <c r="H320" s="119"/>
      <c r="I320" s="118"/>
      <c r="J320" s="41" t="s">
        <v>110</v>
      </c>
      <c r="K320" s="5">
        <v>1</v>
      </c>
      <c r="L320" s="41" t="s">
        <v>110</v>
      </c>
      <c r="M320" s="5">
        <v>1</v>
      </c>
      <c r="N320" s="7"/>
      <c r="O320" s="7"/>
      <c r="P320" s="5" t="s">
        <v>111</v>
      </c>
      <c r="Q320" s="5"/>
      <c r="R320" s="5" t="s">
        <v>112</v>
      </c>
      <c r="S320" s="5">
        <v>5</v>
      </c>
      <c r="T320" s="5" t="s">
        <v>285</v>
      </c>
      <c r="U320" s="5"/>
      <c r="V320" s="5"/>
      <c r="W320" s="174">
        <v>45992</v>
      </c>
      <c r="X320" s="174">
        <v>45992</v>
      </c>
      <c r="Y320" s="5"/>
      <c r="Z320" s="3" t="s">
        <v>116</v>
      </c>
      <c r="AA320" s="3" t="s">
        <v>1635</v>
      </c>
      <c r="AB320" s="3" t="s">
        <v>118</v>
      </c>
      <c r="AC320" s="3" t="s">
        <v>1301</v>
      </c>
      <c r="AD320" s="3"/>
      <c r="AE320" s="3"/>
      <c r="AF320" s="12">
        <f t="shared" si="8"/>
        <v>64</v>
      </c>
      <c r="AG320" s="7">
        <v>60</v>
      </c>
      <c r="AH320" s="7" t="s">
        <v>288</v>
      </c>
      <c r="AI320" s="7">
        <v>80</v>
      </c>
      <c r="AJ320" s="7" t="s">
        <v>172</v>
      </c>
      <c r="AK320" s="7">
        <v>40</v>
      </c>
      <c r="AL320" s="7"/>
      <c r="AM320" s="7">
        <v>80</v>
      </c>
      <c r="AN320" s="7"/>
      <c r="AO320" s="63">
        <v>5.8</v>
      </c>
      <c r="AP320" s="58">
        <v>1600</v>
      </c>
      <c r="AQ320" s="58">
        <v>330</v>
      </c>
      <c r="AR320" s="58">
        <v>330</v>
      </c>
      <c r="AS320" s="30">
        <v>15312</v>
      </c>
      <c r="AT320" s="30">
        <v>9280</v>
      </c>
      <c r="AU320" s="30">
        <v>24592</v>
      </c>
      <c r="AV320" s="197">
        <v>15312</v>
      </c>
      <c r="AW320" s="197">
        <v>9280</v>
      </c>
      <c r="AX320" s="197">
        <v>24592</v>
      </c>
      <c r="AY320" s="202"/>
      <c r="AZ320" s="202"/>
      <c r="BA320" s="202">
        <v>0</v>
      </c>
      <c r="BB320" s="189" t="s">
        <v>289</v>
      </c>
      <c r="BC320" s="189"/>
      <c r="BD320" s="189">
        <v>3</v>
      </c>
      <c r="BE320" s="30"/>
      <c r="BF320" s="186"/>
      <c r="BG320" s="183"/>
      <c r="BH320" s="183"/>
    </row>
    <row r="321" spans="1:60" ht="30" hidden="1" customHeight="1">
      <c r="A321" s="115" t="s">
        <v>122</v>
      </c>
      <c r="B321" s="116" t="s">
        <v>1636</v>
      </c>
      <c r="C321" s="116" t="s">
        <v>1637</v>
      </c>
      <c r="D321" s="116"/>
      <c r="E321" s="117" t="s">
        <v>1604</v>
      </c>
      <c r="F321" s="118" t="s">
        <v>1605</v>
      </c>
      <c r="G321" s="116" t="s">
        <v>1638</v>
      </c>
      <c r="H321" s="119"/>
      <c r="I321" s="118"/>
      <c r="J321" s="41" t="s">
        <v>110</v>
      </c>
      <c r="K321" s="5">
        <v>1</v>
      </c>
      <c r="L321" s="41" t="s">
        <v>110</v>
      </c>
      <c r="M321" s="5">
        <v>1</v>
      </c>
      <c r="N321" s="7"/>
      <c r="O321" s="7"/>
      <c r="P321" s="5" t="s">
        <v>111</v>
      </c>
      <c r="Q321" s="5"/>
      <c r="R321" s="5" t="s">
        <v>112</v>
      </c>
      <c r="S321" s="5">
        <v>5</v>
      </c>
      <c r="T321" s="5" t="s">
        <v>218</v>
      </c>
      <c r="U321" s="5"/>
      <c r="V321" s="5"/>
      <c r="W321" s="174">
        <v>45992</v>
      </c>
      <c r="X321" s="174">
        <v>45992</v>
      </c>
      <c r="Y321" s="5"/>
      <c r="Z321" s="3" t="s">
        <v>306</v>
      </c>
      <c r="AA321" s="2" t="s">
        <v>1639</v>
      </c>
      <c r="AB321" s="3" t="s">
        <v>118</v>
      </c>
      <c r="AC321" s="3"/>
      <c r="AD321" s="50"/>
      <c r="AE321" s="50"/>
      <c r="AF321" s="12">
        <f t="shared" si="8"/>
        <v>64</v>
      </c>
      <c r="AG321" s="7">
        <v>60</v>
      </c>
      <c r="AH321" s="7"/>
      <c r="AI321" s="7">
        <v>80</v>
      </c>
      <c r="AJ321" s="7"/>
      <c r="AK321" s="7">
        <v>40</v>
      </c>
      <c r="AL321" s="7"/>
      <c r="AM321" s="7">
        <v>80</v>
      </c>
      <c r="AN321" s="7"/>
      <c r="AO321" s="63">
        <v>5.8</v>
      </c>
      <c r="AP321" s="58">
        <v>1600</v>
      </c>
      <c r="AQ321" s="58">
        <v>350</v>
      </c>
      <c r="AR321" s="58">
        <v>350</v>
      </c>
      <c r="AS321" s="30">
        <v>16240</v>
      </c>
      <c r="AT321" s="30">
        <v>9280</v>
      </c>
      <c r="AU321" s="30">
        <v>25520</v>
      </c>
      <c r="AV321" s="197">
        <v>16240</v>
      </c>
      <c r="AW321" s="197">
        <v>9280</v>
      </c>
      <c r="AX321" s="197">
        <v>25520</v>
      </c>
      <c r="AY321" s="202"/>
      <c r="AZ321" s="202"/>
      <c r="BA321" s="202">
        <v>0</v>
      </c>
      <c r="BB321" s="189" t="s">
        <v>1640</v>
      </c>
      <c r="BC321" s="189"/>
      <c r="BD321" s="190">
        <v>3</v>
      </c>
      <c r="BE321" s="30"/>
      <c r="BF321" s="186"/>
      <c r="BG321" s="183"/>
      <c r="BH321" s="183"/>
    </row>
    <row r="322" spans="1:60" ht="30" hidden="1" customHeight="1">
      <c r="A322" s="115" t="s">
        <v>1641</v>
      </c>
      <c r="B322" s="116" t="s">
        <v>1642</v>
      </c>
      <c r="C322" s="116" t="s">
        <v>1643</v>
      </c>
      <c r="D322" s="116"/>
      <c r="E322" s="117" t="s">
        <v>1505</v>
      </c>
      <c r="F322" s="118" t="s">
        <v>340</v>
      </c>
      <c r="G322" s="116" t="s">
        <v>1644</v>
      </c>
      <c r="H322" s="119"/>
      <c r="I322" s="118"/>
      <c r="J322" s="41" t="s">
        <v>110</v>
      </c>
      <c r="K322" s="5">
        <v>0</v>
      </c>
      <c r="L322" s="41" t="s">
        <v>110</v>
      </c>
      <c r="M322" s="5">
        <v>0</v>
      </c>
      <c r="N322" s="7" t="s">
        <v>115</v>
      </c>
      <c r="O322" s="7">
        <v>1</v>
      </c>
      <c r="P322" s="5" t="s">
        <v>111</v>
      </c>
      <c r="Q322" s="5"/>
      <c r="R322" s="5" t="s">
        <v>112</v>
      </c>
      <c r="S322" s="5">
        <v>3</v>
      </c>
      <c r="T322" s="5" t="s">
        <v>285</v>
      </c>
      <c r="U322" s="5"/>
      <c r="V322" s="5"/>
      <c r="W322" s="174">
        <v>45992</v>
      </c>
      <c r="X322" s="174">
        <v>45992</v>
      </c>
      <c r="Y322" s="5"/>
      <c r="Z322" s="3"/>
      <c r="AA322" s="3" t="s">
        <v>1645</v>
      </c>
      <c r="AB322" s="3"/>
      <c r="AC322" s="3"/>
      <c r="AD322" s="3"/>
      <c r="AE322" s="3"/>
      <c r="AF322" s="12">
        <f>PAI2025Planejamento[[#This Row],[1) IMPACTO NO MERCADO]]*$AG$2+PAI2025Planejamento[[#This Row],[2) RELEVÂNCIA TEMÁTICA]]*$AI$2+PAI2025Planejamento[[#This Row],[3) TIPO DE ATUAÇÃO]]*$AK$2+PAI2025Planejamento[[#This Row],[4) TIPO DE FÓRUM]]*$AM$2</f>
        <v>64</v>
      </c>
      <c r="AG322" s="7">
        <v>60</v>
      </c>
      <c r="AH322" s="7"/>
      <c r="AI322" s="7">
        <v>80</v>
      </c>
      <c r="AJ322" s="7"/>
      <c r="AK322" s="7">
        <v>40</v>
      </c>
      <c r="AL322" s="7"/>
      <c r="AM322" s="7">
        <v>80</v>
      </c>
      <c r="AN322" s="7"/>
      <c r="AO322" s="63">
        <v>5.8</v>
      </c>
      <c r="AP322" s="58">
        <v>0</v>
      </c>
      <c r="AQ322" s="58">
        <v>0</v>
      </c>
      <c r="AR322" s="58">
        <v>0</v>
      </c>
      <c r="AS322" s="30">
        <v>0</v>
      </c>
      <c r="AT322" s="30">
        <v>0</v>
      </c>
      <c r="AU322" s="30">
        <v>0</v>
      </c>
      <c r="AV322" s="197">
        <v>0</v>
      </c>
      <c r="AW322" s="197">
        <v>0</v>
      </c>
      <c r="AX322" s="197">
        <v>0</v>
      </c>
      <c r="AY322" s="202"/>
      <c r="AZ322" s="202"/>
      <c r="BA322" s="202">
        <v>0</v>
      </c>
      <c r="BB322" s="189"/>
      <c r="BC322" s="189"/>
      <c r="BD322" s="190">
        <v>3</v>
      </c>
      <c r="BE322" s="30"/>
      <c r="BF322" s="186"/>
      <c r="BG322" s="183"/>
      <c r="BH322" s="183"/>
    </row>
    <row r="323" spans="1:60" ht="30" hidden="1" customHeight="1">
      <c r="A323" s="115" t="s">
        <v>135</v>
      </c>
      <c r="B323" s="116" t="s">
        <v>1646</v>
      </c>
      <c r="C323" s="116" t="s">
        <v>1122</v>
      </c>
      <c r="D323" s="116"/>
      <c r="E323" s="117" t="s">
        <v>176</v>
      </c>
      <c r="F323" s="118" t="s">
        <v>651</v>
      </c>
      <c r="G323" s="116" t="s">
        <v>1647</v>
      </c>
      <c r="H323" s="119"/>
      <c r="I323" s="118"/>
      <c r="J323" s="41" t="s">
        <v>110</v>
      </c>
      <c r="K323" s="5">
        <v>1</v>
      </c>
      <c r="L323" s="41" t="s">
        <v>110</v>
      </c>
      <c r="M323" s="5">
        <v>1</v>
      </c>
      <c r="N323" s="7" t="s">
        <v>115</v>
      </c>
      <c r="O323" s="7">
        <v>1</v>
      </c>
      <c r="P323" s="5" t="s">
        <v>111</v>
      </c>
      <c r="Q323" s="5"/>
      <c r="R323" s="5" t="s">
        <v>112</v>
      </c>
      <c r="S323" s="5">
        <v>5</v>
      </c>
      <c r="T323" s="5" t="s">
        <v>801</v>
      </c>
      <c r="U323" s="5"/>
      <c r="V323" s="5"/>
      <c r="W323" s="175">
        <v>45992</v>
      </c>
      <c r="X323" s="175">
        <v>45992</v>
      </c>
      <c r="Y323" s="5"/>
      <c r="Z323" s="3" t="s">
        <v>1648</v>
      </c>
      <c r="AA323" s="3" t="s">
        <v>1649</v>
      </c>
      <c r="AB323" s="3" t="s">
        <v>1650</v>
      </c>
      <c r="AC323" s="3" t="s">
        <v>683</v>
      </c>
      <c r="AD323" s="3"/>
      <c r="AE323" s="3"/>
      <c r="AF323" s="12">
        <f t="shared" ref="AF323:AF354" si="9">AG323*$AG$2+AI323*$AI$2+AK323*$AK$2+AM323*$AM$2</f>
        <v>64</v>
      </c>
      <c r="AG323" s="7">
        <v>60</v>
      </c>
      <c r="AH323" s="7"/>
      <c r="AI323" s="7">
        <v>80</v>
      </c>
      <c r="AJ323" s="7"/>
      <c r="AK323" s="7">
        <v>40</v>
      </c>
      <c r="AL323" s="7"/>
      <c r="AM323" s="7">
        <v>80</v>
      </c>
      <c r="AN323" s="7"/>
      <c r="AO323" s="63">
        <v>5.8</v>
      </c>
      <c r="AP323" s="58">
        <v>1600</v>
      </c>
      <c r="AQ323" s="58">
        <v>390</v>
      </c>
      <c r="AR323" s="58">
        <v>390</v>
      </c>
      <c r="AS323" s="30">
        <v>18096</v>
      </c>
      <c r="AT323" s="30">
        <v>9280</v>
      </c>
      <c r="AU323" s="30">
        <v>27376</v>
      </c>
      <c r="AV323" s="197">
        <v>18096</v>
      </c>
      <c r="AW323" s="197">
        <v>9280</v>
      </c>
      <c r="AX323" s="197">
        <v>27376</v>
      </c>
      <c r="AY323" s="202"/>
      <c r="AZ323" s="202"/>
      <c r="BA323" s="202">
        <v>0</v>
      </c>
      <c r="BB323" s="189" t="s">
        <v>1651</v>
      </c>
      <c r="BC323" s="189"/>
      <c r="BD323" s="189">
        <v>3</v>
      </c>
      <c r="BE323" s="30" t="s">
        <v>499</v>
      </c>
      <c r="BF323" s="186"/>
      <c r="BG323" s="183"/>
      <c r="BH323" s="183"/>
    </row>
    <row r="324" spans="1:60" ht="30" hidden="1" customHeight="1">
      <c r="A324" s="115" t="s">
        <v>1383</v>
      </c>
      <c r="B324" s="120" t="s">
        <v>1652</v>
      </c>
      <c r="C324" s="116" t="s">
        <v>1653</v>
      </c>
      <c r="D324" s="116"/>
      <c r="E324" s="117" t="s">
        <v>339</v>
      </c>
      <c r="F324" s="117" t="s">
        <v>340</v>
      </c>
      <c r="G324" s="120" t="s">
        <v>1654</v>
      </c>
      <c r="H324" s="121"/>
      <c r="I324" s="41"/>
      <c r="J324" s="41" t="s">
        <v>110</v>
      </c>
      <c r="K324" s="5">
        <v>2</v>
      </c>
      <c r="L324" s="41" t="s">
        <v>110</v>
      </c>
      <c r="M324" s="5">
        <v>1</v>
      </c>
      <c r="N324" s="7" t="s">
        <v>115</v>
      </c>
      <c r="O324" s="7">
        <v>2</v>
      </c>
      <c r="P324" s="5" t="s">
        <v>111</v>
      </c>
      <c r="Q324" s="5"/>
      <c r="R324" s="5" t="s">
        <v>112</v>
      </c>
      <c r="S324" s="5">
        <v>2</v>
      </c>
      <c r="T324" s="5" t="s">
        <v>924</v>
      </c>
      <c r="U324" s="5"/>
      <c r="V324" s="5" t="s">
        <v>115</v>
      </c>
      <c r="W324" s="174">
        <v>45971</v>
      </c>
      <c r="X324" s="174">
        <v>45975</v>
      </c>
      <c r="Y324" s="5"/>
      <c r="Z324" s="3" t="s">
        <v>817</v>
      </c>
      <c r="AA324" s="2" t="s">
        <v>1655</v>
      </c>
      <c r="AB324" s="3" t="s">
        <v>517</v>
      </c>
      <c r="AC324" s="3" t="s">
        <v>1389</v>
      </c>
      <c r="AD324" s="3"/>
      <c r="AE324" s="3"/>
      <c r="AF324" s="12">
        <f t="shared" si="9"/>
        <v>88</v>
      </c>
      <c r="AG324" s="7">
        <v>80</v>
      </c>
      <c r="AH324" s="7" t="s">
        <v>1656</v>
      </c>
      <c r="AI324" s="7">
        <v>100</v>
      </c>
      <c r="AJ324" s="7" t="s">
        <v>1619</v>
      </c>
      <c r="AK324" s="7">
        <v>80</v>
      </c>
      <c r="AL324" s="7"/>
      <c r="AM324" s="7">
        <v>100</v>
      </c>
      <c r="AN324" s="7" t="s">
        <v>348</v>
      </c>
      <c r="AO324" s="63">
        <v>5.8</v>
      </c>
      <c r="AP324" s="58">
        <v>800</v>
      </c>
      <c r="AQ324" s="58">
        <v>280</v>
      </c>
      <c r="AR324" s="58">
        <v>280</v>
      </c>
      <c r="AS324" s="30">
        <v>12992</v>
      </c>
      <c r="AT324" s="30">
        <v>9280</v>
      </c>
      <c r="AU324" s="30">
        <v>22272</v>
      </c>
      <c r="AV324" s="197">
        <v>6496</v>
      </c>
      <c r="AW324" s="197">
        <v>4640</v>
      </c>
      <c r="AX324" s="197">
        <v>11136</v>
      </c>
      <c r="AY324" s="202"/>
      <c r="AZ324" s="202"/>
      <c r="BA324" s="202">
        <v>0</v>
      </c>
      <c r="BB324" s="189" t="s">
        <v>1657</v>
      </c>
      <c r="BC324" s="189"/>
      <c r="BD324" s="189">
        <v>2</v>
      </c>
      <c r="BE324" s="30"/>
      <c r="BF324" s="186"/>
      <c r="BG324" s="183"/>
      <c r="BH324" s="183"/>
    </row>
    <row r="325" spans="1:60" ht="30" hidden="1" customHeight="1">
      <c r="A325" s="41" t="s">
        <v>122</v>
      </c>
      <c r="B325" s="116" t="s">
        <v>1658</v>
      </c>
      <c r="C325" s="116" t="s">
        <v>122</v>
      </c>
      <c r="D325" s="116"/>
      <c r="E325" s="117" t="s">
        <v>126</v>
      </c>
      <c r="F325" s="117" t="s">
        <v>152</v>
      </c>
      <c r="G325" s="116" t="s">
        <v>1659</v>
      </c>
      <c r="H325" s="119"/>
      <c r="I325" s="118"/>
      <c r="J325" s="41" t="s">
        <v>110</v>
      </c>
      <c r="K325" s="5">
        <v>2</v>
      </c>
      <c r="L325" s="41" t="s">
        <v>110</v>
      </c>
      <c r="M325" s="5">
        <v>2</v>
      </c>
      <c r="N325" s="7"/>
      <c r="O325" s="7"/>
      <c r="P325" s="5" t="s">
        <v>111</v>
      </c>
      <c r="Q325" s="5"/>
      <c r="R325" s="5" t="s">
        <v>112</v>
      </c>
      <c r="S325" s="5">
        <v>5</v>
      </c>
      <c r="T325" s="5" t="s">
        <v>801</v>
      </c>
      <c r="U325" s="5"/>
      <c r="V325" s="5"/>
      <c r="W325" s="174">
        <v>45992</v>
      </c>
      <c r="X325" s="174">
        <v>45992</v>
      </c>
      <c r="Y325" s="5"/>
      <c r="Z325" s="3" t="s">
        <v>524</v>
      </c>
      <c r="AA325" s="3" t="s">
        <v>1660</v>
      </c>
      <c r="AB325" s="3" t="s">
        <v>118</v>
      </c>
      <c r="AC325" s="3"/>
      <c r="AD325" s="3"/>
      <c r="AE325" s="3"/>
      <c r="AF325" s="12">
        <f t="shared" si="9"/>
        <v>62</v>
      </c>
      <c r="AG325" s="7">
        <v>60</v>
      </c>
      <c r="AH325" s="7"/>
      <c r="AI325" s="7">
        <v>80</v>
      </c>
      <c r="AJ325" s="7"/>
      <c r="AK325" s="7">
        <v>40</v>
      </c>
      <c r="AL325" s="7"/>
      <c r="AM325" s="7">
        <v>60</v>
      </c>
      <c r="AN325" s="7"/>
      <c r="AO325" s="63">
        <v>5.8</v>
      </c>
      <c r="AP325" s="58">
        <v>1600</v>
      </c>
      <c r="AQ325" s="58">
        <f>AVERAGE(460,420)</f>
        <v>440</v>
      </c>
      <c r="AR325" s="58">
        <f>AVERAGE(460,420)</f>
        <v>440</v>
      </c>
      <c r="AS325" s="30">
        <v>40832</v>
      </c>
      <c r="AT325" s="30">
        <v>18560</v>
      </c>
      <c r="AU325" s="30">
        <v>59392</v>
      </c>
      <c r="AV325" s="197">
        <v>40832</v>
      </c>
      <c r="AW325" s="197">
        <v>18560</v>
      </c>
      <c r="AX325" s="197">
        <v>59392</v>
      </c>
      <c r="AY325" s="202"/>
      <c r="AZ325" s="202"/>
      <c r="BA325" s="202">
        <v>0</v>
      </c>
      <c r="BB325" s="189" t="s">
        <v>1661</v>
      </c>
      <c r="BC325" s="189"/>
      <c r="BD325" s="189">
        <v>3</v>
      </c>
      <c r="BE325" s="30"/>
      <c r="BF325" s="186"/>
      <c r="BG325" s="183"/>
      <c r="BH325" s="183"/>
    </row>
    <row r="326" spans="1:60" ht="30" customHeight="1">
      <c r="A326" s="115" t="s">
        <v>192</v>
      </c>
      <c r="B326" s="116" t="s">
        <v>1662</v>
      </c>
      <c r="C326" s="116" t="s">
        <v>1663</v>
      </c>
      <c r="D326" s="116"/>
      <c r="E326" s="117" t="s">
        <v>195</v>
      </c>
      <c r="F326" s="117" t="s">
        <v>293</v>
      </c>
      <c r="G326" s="116"/>
      <c r="H326" s="119"/>
      <c r="I326" s="118"/>
      <c r="J326" s="41" t="s">
        <v>110</v>
      </c>
      <c r="K326" s="5">
        <v>1</v>
      </c>
      <c r="L326" s="41" t="s">
        <v>110</v>
      </c>
      <c r="M326" s="5">
        <v>1</v>
      </c>
      <c r="N326" s="7"/>
      <c r="O326" s="7"/>
      <c r="P326" s="5" t="s">
        <v>111</v>
      </c>
      <c r="Q326" s="5"/>
      <c r="R326" s="5" t="s">
        <v>112</v>
      </c>
      <c r="S326" s="5">
        <v>5</v>
      </c>
      <c r="T326" s="5" t="s">
        <v>924</v>
      </c>
      <c r="U326" s="5"/>
      <c r="V326" s="5" t="s">
        <v>115</v>
      </c>
      <c r="W326" s="175">
        <v>45992</v>
      </c>
      <c r="X326" s="175">
        <v>45992</v>
      </c>
      <c r="Y326" s="5"/>
      <c r="Z326" s="3" t="s">
        <v>306</v>
      </c>
      <c r="AA326" s="2" t="s">
        <v>1664</v>
      </c>
      <c r="AB326" s="3" t="s">
        <v>517</v>
      </c>
      <c r="AC326" s="3"/>
      <c r="AD326" s="50"/>
      <c r="AE326" s="50"/>
      <c r="AF326" s="12">
        <f t="shared" si="9"/>
        <v>56</v>
      </c>
      <c r="AG326" s="7">
        <v>40</v>
      </c>
      <c r="AH326" s="7"/>
      <c r="AI326" s="7">
        <v>40</v>
      </c>
      <c r="AJ326" s="7"/>
      <c r="AK326" s="7">
        <v>100</v>
      </c>
      <c r="AL326" s="7"/>
      <c r="AM326" s="7">
        <v>80</v>
      </c>
      <c r="AN326" s="7"/>
      <c r="AO326" s="63">
        <v>5.8</v>
      </c>
      <c r="AP326" s="58">
        <v>800</v>
      </c>
      <c r="AQ326" s="58">
        <v>280</v>
      </c>
      <c r="AR326" s="58">
        <v>280</v>
      </c>
      <c r="AS326" s="30">
        <v>11368</v>
      </c>
      <c r="AT326" s="30">
        <v>4640</v>
      </c>
      <c r="AU326" s="30">
        <v>16008</v>
      </c>
      <c r="AV326" s="197">
        <v>11368</v>
      </c>
      <c r="AW326" s="197">
        <v>4640</v>
      </c>
      <c r="AX326" s="197">
        <v>16008</v>
      </c>
      <c r="AY326" s="202"/>
      <c r="AZ326" s="202"/>
      <c r="BA326" s="202">
        <v>0</v>
      </c>
      <c r="BB326" s="189" t="s">
        <v>1665</v>
      </c>
      <c r="BC326" s="189"/>
      <c r="BD326" s="190">
        <v>2</v>
      </c>
      <c r="BE326" s="30"/>
      <c r="BF326" s="186"/>
      <c r="BG326" s="183"/>
      <c r="BH326" s="183"/>
    </row>
    <row r="327" spans="1:60" ht="30" customHeight="1">
      <c r="A327" s="115" t="s">
        <v>192</v>
      </c>
      <c r="B327" s="116" t="s">
        <v>1666</v>
      </c>
      <c r="C327" s="116" t="s">
        <v>456</v>
      </c>
      <c r="D327" s="116"/>
      <c r="E327" s="117" t="s">
        <v>195</v>
      </c>
      <c r="F327" s="117" t="s">
        <v>293</v>
      </c>
      <c r="G327" s="116"/>
      <c r="H327" s="119"/>
      <c r="I327" s="118"/>
      <c r="J327" s="41" t="s">
        <v>110</v>
      </c>
      <c r="K327" s="5">
        <v>1</v>
      </c>
      <c r="L327" s="41" t="s">
        <v>110</v>
      </c>
      <c r="M327" s="5">
        <v>1</v>
      </c>
      <c r="N327" s="7"/>
      <c r="O327" s="7"/>
      <c r="P327" s="5" t="s">
        <v>111</v>
      </c>
      <c r="Q327" s="5"/>
      <c r="R327" s="5" t="s">
        <v>112</v>
      </c>
      <c r="S327" s="5">
        <v>5</v>
      </c>
      <c r="T327" s="5" t="s">
        <v>1667</v>
      </c>
      <c r="U327" s="5"/>
      <c r="V327" s="5"/>
      <c r="W327" s="174">
        <v>45992</v>
      </c>
      <c r="X327" s="174">
        <v>45992</v>
      </c>
      <c r="Y327" s="5"/>
      <c r="Z327" s="3"/>
      <c r="AA327" s="2"/>
      <c r="AB327" s="3"/>
      <c r="AC327" s="3"/>
      <c r="AD327" s="50"/>
      <c r="AE327" s="50"/>
      <c r="AF327" s="12">
        <f t="shared" si="9"/>
        <v>56</v>
      </c>
      <c r="AG327" s="7">
        <v>40</v>
      </c>
      <c r="AH327" s="7"/>
      <c r="AI327" s="7">
        <v>40</v>
      </c>
      <c r="AJ327" s="7"/>
      <c r="AK327" s="7">
        <v>100</v>
      </c>
      <c r="AL327" s="7"/>
      <c r="AM327" s="7">
        <v>80</v>
      </c>
      <c r="AN327" s="7"/>
      <c r="AO327" s="63">
        <v>5.8</v>
      </c>
      <c r="AP327" s="58">
        <v>1600</v>
      </c>
      <c r="AQ327" s="58">
        <v>420</v>
      </c>
      <c r="AR327" s="58">
        <v>420</v>
      </c>
      <c r="AS327" s="30">
        <v>19488</v>
      </c>
      <c r="AT327" s="30">
        <v>9280</v>
      </c>
      <c r="AU327" s="30">
        <v>28768</v>
      </c>
      <c r="AV327" s="197">
        <v>19488</v>
      </c>
      <c r="AW327" s="197">
        <v>9280</v>
      </c>
      <c r="AX327" s="197">
        <v>28768</v>
      </c>
      <c r="AY327" s="202"/>
      <c r="AZ327" s="202"/>
      <c r="BA327" s="202">
        <v>0</v>
      </c>
      <c r="BB327" s="189" t="s">
        <v>1665</v>
      </c>
      <c r="BC327" s="191"/>
      <c r="BD327" s="192">
        <v>3</v>
      </c>
      <c r="BE327" s="30"/>
      <c r="BF327" s="186"/>
      <c r="BG327" s="183"/>
      <c r="BH327" s="183"/>
    </row>
    <row r="328" spans="1:60" ht="30" customHeight="1">
      <c r="A328" s="115" t="s">
        <v>192</v>
      </c>
      <c r="B328" s="116" t="s">
        <v>1666</v>
      </c>
      <c r="C328" s="116" t="s">
        <v>456</v>
      </c>
      <c r="D328" s="116"/>
      <c r="E328" s="117" t="s">
        <v>195</v>
      </c>
      <c r="F328" s="117" t="s">
        <v>293</v>
      </c>
      <c r="G328" s="116" t="s">
        <v>1668</v>
      </c>
      <c r="H328" s="119"/>
      <c r="I328" s="118"/>
      <c r="J328" s="41" t="s">
        <v>110</v>
      </c>
      <c r="K328" s="5">
        <v>0</v>
      </c>
      <c r="L328" s="41" t="s">
        <v>110</v>
      </c>
      <c r="M328" s="5">
        <v>0</v>
      </c>
      <c r="N328" s="7"/>
      <c r="O328" s="7"/>
      <c r="P328" s="5" t="s">
        <v>111</v>
      </c>
      <c r="Q328" s="5"/>
      <c r="R328" s="5" t="s">
        <v>112</v>
      </c>
      <c r="S328" s="5">
        <v>5</v>
      </c>
      <c r="T328" s="5" t="s">
        <v>1667</v>
      </c>
      <c r="U328" s="5"/>
      <c r="V328" s="5"/>
      <c r="W328" s="175">
        <v>45992</v>
      </c>
      <c r="X328" s="175">
        <v>45992</v>
      </c>
      <c r="Y328" s="5"/>
      <c r="Z328" s="3"/>
      <c r="AA328" s="2"/>
      <c r="AB328" s="42"/>
      <c r="AC328" s="3"/>
      <c r="AD328" s="50"/>
      <c r="AE328" s="50"/>
      <c r="AF328" s="12">
        <f t="shared" si="9"/>
        <v>56</v>
      </c>
      <c r="AG328" s="7">
        <v>40</v>
      </c>
      <c r="AH328" s="7"/>
      <c r="AI328" s="7">
        <v>40</v>
      </c>
      <c r="AJ328" s="7"/>
      <c r="AK328" s="7">
        <v>100</v>
      </c>
      <c r="AL328" s="7"/>
      <c r="AM328" s="7">
        <v>80</v>
      </c>
      <c r="AN328" s="7"/>
      <c r="AO328" s="63">
        <v>5.8</v>
      </c>
      <c r="AP328" s="58">
        <v>1600</v>
      </c>
      <c r="AQ328" s="58">
        <v>420</v>
      </c>
      <c r="AR328" s="58">
        <v>420</v>
      </c>
      <c r="AS328" s="30">
        <v>19488</v>
      </c>
      <c r="AT328" s="30">
        <v>0</v>
      </c>
      <c r="AU328" s="30">
        <v>19488</v>
      </c>
      <c r="AV328" s="197">
        <v>19488</v>
      </c>
      <c r="AW328" s="197">
        <v>0</v>
      </c>
      <c r="AX328" s="197">
        <v>19488</v>
      </c>
      <c r="AY328" s="202"/>
      <c r="AZ328" s="202"/>
      <c r="BA328" s="202">
        <v>0</v>
      </c>
      <c r="BB328" s="189"/>
      <c r="BC328" s="189"/>
      <c r="BD328" s="190">
        <v>3</v>
      </c>
      <c r="BE328" s="30"/>
      <c r="BF328" s="186"/>
      <c r="BG328" s="183"/>
      <c r="BH328" s="183"/>
    </row>
    <row r="329" spans="1:60" ht="30" hidden="1" customHeight="1">
      <c r="A329" s="115" t="s">
        <v>122</v>
      </c>
      <c r="B329" s="116" t="s">
        <v>1669</v>
      </c>
      <c r="C329" s="116" t="s">
        <v>1670</v>
      </c>
      <c r="D329" s="116"/>
      <c r="E329" s="117" t="s">
        <v>264</v>
      </c>
      <c r="F329" s="117" t="s">
        <v>265</v>
      </c>
      <c r="G329" s="116" t="s">
        <v>1671</v>
      </c>
      <c r="H329" s="119"/>
      <c r="I329" s="118"/>
      <c r="J329" s="41" t="s">
        <v>178</v>
      </c>
      <c r="K329" s="5">
        <v>0</v>
      </c>
      <c r="L329" s="41" t="s">
        <v>110</v>
      </c>
      <c r="M329" s="5">
        <v>0</v>
      </c>
      <c r="N329" s="7"/>
      <c r="O329" s="7"/>
      <c r="P329" s="5" t="s">
        <v>111</v>
      </c>
      <c r="Q329" s="5"/>
      <c r="R329" s="5" t="s">
        <v>112</v>
      </c>
      <c r="S329" s="5">
        <v>90</v>
      </c>
      <c r="T329" s="5" t="s">
        <v>218</v>
      </c>
      <c r="U329" s="5"/>
      <c r="V329" s="5"/>
      <c r="W329" s="174">
        <v>45992</v>
      </c>
      <c r="X329" s="174">
        <v>45992</v>
      </c>
      <c r="Y329" s="5"/>
      <c r="Z329" s="3" t="s">
        <v>1670</v>
      </c>
      <c r="AA329" s="2" t="s">
        <v>1672</v>
      </c>
      <c r="AB329" s="3" t="s">
        <v>1673</v>
      </c>
      <c r="AC329" s="3" t="s">
        <v>1674</v>
      </c>
      <c r="AD329" s="50"/>
      <c r="AE329" s="50"/>
      <c r="AF329" s="12">
        <f t="shared" si="9"/>
        <v>56</v>
      </c>
      <c r="AG329" s="7">
        <v>40</v>
      </c>
      <c r="AH329" s="7"/>
      <c r="AI329" s="7">
        <v>40</v>
      </c>
      <c r="AJ329" s="7"/>
      <c r="AK329" s="7">
        <v>100</v>
      </c>
      <c r="AL329" s="7" t="s">
        <v>1534</v>
      </c>
      <c r="AM329" s="7">
        <v>80</v>
      </c>
      <c r="AN329" s="7"/>
      <c r="AO329" s="63">
        <v>5.8</v>
      </c>
      <c r="AP329" s="58">
        <v>1600</v>
      </c>
      <c r="AQ329" s="58">
        <v>330</v>
      </c>
      <c r="AR329" s="58">
        <v>330</v>
      </c>
      <c r="AS329" s="30">
        <v>0</v>
      </c>
      <c r="AT329" s="30">
        <v>0</v>
      </c>
      <c r="AU329" s="30">
        <v>0</v>
      </c>
      <c r="AV329" s="197">
        <v>0</v>
      </c>
      <c r="AW329" s="197">
        <v>0</v>
      </c>
      <c r="AX329" s="197">
        <v>0</v>
      </c>
      <c r="AY329" s="202"/>
      <c r="AZ329" s="202"/>
      <c r="BA329" s="202">
        <v>0</v>
      </c>
      <c r="BB329" s="189" t="s">
        <v>1675</v>
      </c>
      <c r="BC329" s="189"/>
      <c r="BD329" s="190">
        <v>3</v>
      </c>
      <c r="BE329" s="30"/>
      <c r="BF329" s="186"/>
      <c r="BG329" s="183"/>
      <c r="BH329" s="183"/>
    </row>
    <row r="330" spans="1:60" ht="30" hidden="1" customHeight="1">
      <c r="A330" s="115" t="s">
        <v>290</v>
      </c>
      <c r="B330" s="116" t="s">
        <v>1676</v>
      </c>
      <c r="C330" s="116" t="s">
        <v>1677</v>
      </c>
      <c r="D330" s="116"/>
      <c r="E330" s="117" t="s">
        <v>126</v>
      </c>
      <c r="F330" s="117" t="s">
        <v>293</v>
      </c>
      <c r="G330" s="116" t="s">
        <v>1678</v>
      </c>
      <c r="H330" s="119"/>
      <c r="I330" s="118"/>
      <c r="J330" s="41" t="s">
        <v>178</v>
      </c>
      <c r="K330" s="5">
        <v>0</v>
      </c>
      <c r="L330" s="41" t="s">
        <v>110</v>
      </c>
      <c r="M330" s="5">
        <v>0</v>
      </c>
      <c r="N330" s="7"/>
      <c r="O330" s="7"/>
      <c r="P330" s="5" t="s">
        <v>111</v>
      </c>
      <c r="Q330" s="5"/>
      <c r="R330" s="5" t="s">
        <v>112</v>
      </c>
      <c r="S330" s="5">
        <v>5</v>
      </c>
      <c r="T330" s="5" t="s">
        <v>285</v>
      </c>
      <c r="U330" s="5"/>
      <c r="V330" s="5" t="s">
        <v>115</v>
      </c>
      <c r="W330" s="175">
        <v>45992</v>
      </c>
      <c r="X330" s="175">
        <v>45992</v>
      </c>
      <c r="Y330" s="5"/>
      <c r="Z330" s="3" t="s">
        <v>306</v>
      </c>
      <c r="AA330" s="3" t="s">
        <v>1679</v>
      </c>
      <c r="AB330" s="3" t="s">
        <v>1680</v>
      </c>
      <c r="AC330" s="3"/>
      <c r="AD330" s="3"/>
      <c r="AE330" s="3"/>
      <c r="AF330" s="12">
        <f t="shared" si="9"/>
        <v>56</v>
      </c>
      <c r="AG330" s="7">
        <v>40</v>
      </c>
      <c r="AH330" s="7"/>
      <c r="AI330" s="7">
        <v>40</v>
      </c>
      <c r="AJ330" s="7" t="s">
        <v>1568</v>
      </c>
      <c r="AK330" s="7">
        <v>100</v>
      </c>
      <c r="AL330" s="7" t="s">
        <v>1569</v>
      </c>
      <c r="AM330" s="7">
        <v>80</v>
      </c>
      <c r="AN330" s="7"/>
      <c r="AO330" s="63">
        <v>5.8</v>
      </c>
      <c r="AP330" s="58">
        <v>800</v>
      </c>
      <c r="AQ330" s="58"/>
      <c r="AR330" s="58"/>
      <c r="AS330" s="30">
        <v>0</v>
      </c>
      <c r="AT330" s="30">
        <v>0</v>
      </c>
      <c r="AU330" s="30">
        <v>0</v>
      </c>
      <c r="AV330" s="197">
        <v>0</v>
      </c>
      <c r="AW330" s="197">
        <v>0</v>
      </c>
      <c r="AX330" s="197">
        <v>0</v>
      </c>
      <c r="AY330" s="202"/>
      <c r="AZ330" s="202"/>
      <c r="BA330" s="202">
        <v>0</v>
      </c>
      <c r="BB330" s="189" t="s">
        <v>799</v>
      </c>
      <c r="BC330" s="189"/>
      <c r="BD330" s="189">
        <v>2</v>
      </c>
      <c r="BE330" s="30"/>
      <c r="BF330" s="186"/>
      <c r="BG330" s="183"/>
      <c r="BH330" s="183"/>
    </row>
    <row r="331" spans="1:60" ht="30" hidden="1" customHeight="1">
      <c r="A331" s="115" t="s">
        <v>248</v>
      </c>
      <c r="B331" s="116" t="s">
        <v>1681</v>
      </c>
      <c r="C331" s="116" t="s">
        <v>1677</v>
      </c>
      <c r="D331" s="116"/>
      <c r="E331" s="117" t="s">
        <v>126</v>
      </c>
      <c r="F331" s="117" t="s">
        <v>293</v>
      </c>
      <c r="G331" s="116" t="s">
        <v>1682</v>
      </c>
      <c r="H331" s="119"/>
      <c r="I331" s="118"/>
      <c r="J331" s="41" t="s">
        <v>178</v>
      </c>
      <c r="K331" s="5">
        <v>0</v>
      </c>
      <c r="L331" s="41" t="s">
        <v>110</v>
      </c>
      <c r="M331" s="5">
        <v>0</v>
      </c>
      <c r="N331" s="7"/>
      <c r="O331" s="7"/>
      <c r="P331" s="5" t="s">
        <v>111</v>
      </c>
      <c r="Q331" s="5"/>
      <c r="R331" s="5" t="s">
        <v>112</v>
      </c>
      <c r="S331" s="5">
        <v>5</v>
      </c>
      <c r="T331" s="5" t="s">
        <v>285</v>
      </c>
      <c r="U331" s="5"/>
      <c r="V331" s="5" t="s">
        <v>115</v>
      </c>
      <c r="W331" s="175">
        <v>45992</v>
      </c>
      <c r="X331" s="175">
        <v>45992</v>
      </c>
      <c r="Y331" s="5"/>
      <c r="Z331" s="3" t="s">
        <v>306</v>
      </c>
      <c r="AA331" s="3" t="s">
        <v>1679</v>
      </c>
      <c r="AB331" s="3" t="s">
        <v>1680</v>
      </c>
      <c r="AC331" s="3"/>
      <c r="AD331" s="3"/>
      <c r="AE331" s="3"/>
      <c r="AF331" s="12">
        <f t="shared" si="9"/>
        <v>56</v>
      </c>
      <c r="AG331" s="7">
        <v>40</v>
      </c>
      <c r="AH331" s="7"/>
      <c r="AI331" s="7">
        <v>40</v>
      </c>
      <c r="AJ331" s="7"/>
      <c r="AK331" s="7">
        <v>100</v>
      </c>
      <c r="AL331" s="7"/>
      <c r="AM331" s="7">
        <v>80</v>
      </c>
      <c r="AN331" s="7"/>
      <c r="AO331" s="63">
        <v>5.8</v>
      </c>
      <c r="AP331" s="58">
        <v>1600</v>
      </c>
      <c r="AQ331" s="58"/>
      <c r="AR331" s="58"/>
      <c r="AS331" s="30">
        <v>0</v>
      </c>
      <c r="AT331" s="30">
        <v>0</v>
      </c>
      <c r="AU331" s="30">
        <v>0</v>
      </c>
      <c r="AV331" s="197">
        <v>0</v>
      </c>
      <c r="AW331" s="197">
        <v>0</v>
      </c>
      <c r="AX331" s="197">
        <v>0</v>
      </c>
      <c r="AY331" s="202"/>
      <c r="AZ331" s="202"/>
      <c r="BA331" s="202">
        <v>0</v>
      </c>
      <c r="BB331" s="189" t="s">
        <v>799</v>
      </c>
      <c r="BC331" s="191"/>
      <c r="BD331" s="41">
        <v>3</v>
      </c>
      <c r="BE331" s="30"/>
      <c r="BF331" s="186"/>
      <c r="BG331" s="183"/>
      <c r="BH331" s="183"/>
    </row>
    <row r="332" spans="1:60" ht="30" hidden="1" customHeight="1">
      <c r="A332" s="115" t="s">
        <v>248</v>
      </c>
      <c r="B332" s="116" t="s">
        <v>1683</v>
      </c>
      <c r="C332" s="116" t="s">
        <v>1677</v>
      </c>
      <c r="D332" s="116"/>
      <c r="E332" s="117" t="s">
        <v>126</v>
      </c>
      <c r="F332" s="117" t="s">
        <v>293</v>
      </c>
      <c r="G332" s="116" t="s">
        <v>1684</v>
      </c>
      <c r="H332" s="119"/>
      <c r="I332" s="118"/>
      <c r="J332" s="41" t="s">
        <v>178</v>
      </c>
      <c r="K332" s="5">
        <v>0</v>
      </c>
      <c r="L332" s="41" t="s">
        <v>110</v>
      </c>
      <c r="M332" s="5">
        <v>0</v>
      </c>
      <c r="N332" s="7"/>
      <c r="O332" s="7"/>
      <c r="P332" s="5" t="s">
        <v>111</v>
      </c>
      <c r="Q332" s="5"/>
      <c r="R332" s="5" t="s">
        <v>112</v>
      </c>
      <c r="S332" s="5">
        <v>5</v>
      </c>
      <c r="T332" s="5" t="s">
        <v>285</v>
      </c>
      <c r="U332" s="5"/>
      <c r="V332" s="5" t="s">
        <v>115</v>
      </c>
      <c r="W332" s="175">
        <v>45992</v>
      </c>
      <c r="X332" s="175">
        <v>45992</v>
      </c>
      <c r="Y332" s="5"/>
      <c r="Z332" s="3" t="s">
        <v>306</v>
      </c>
      <c r="AA332" s="3" t="s">
        <v>1679</v>
      </c>
      <c r="AB332" s="3" t="s">
        <v>1680</v>
      </c>
      <c r="AC332" s="3"/>
      <c r="AD332" s="3"/>
      <c r="AE332" s="3"/>
      <c r="AF332" s="12">
        <f t="shared" si="9"/>
        <v>56</v>
      </c>
      <c r="AG332" s="7">
        <v>40</v>
      </c>
      <c r="AH332" s="7"/>
      <c r="AI332" s="7">
        <v>40</v>
      </c>
      <c r="AJ332" s="7"/>
      <c r="AK332" s="7">
        <v>100</v>
      </c>
      <c r="AL332" s="7"/>
      <c r="AM332" s="7">
        <v>80</v>
      </c>
      <c r="AN332" s="7"/>
      <c r="AO332" s="63">
        <v>5.8</v>
      </c>
      <c r="AP332" s="58">
        <v>1600</v>
      </c>
      <c r="AQ332" s="58"/>
      <c r="AR332" s="58"/>
      <c r="AS332" s="30">
        <v>0</v>
      </c>
      <c r="AT332" s="30">
        <v>0</v>
      </c>
      <c r="AU332" s="30">
        <v>0</v>
      </c>
      <c r="AV332" s="197">
        <v>0</v>
      </c>
      <c r="AW332" s="197">
        <v>0</v>
      </c>
      <c r="AX332" s="197">
        <v>0</v>
      </c>
      <c r="AY332" s="202"/>
      <c r="AZ332" s="202"/>
      <c r="BA332" s="202">
        <v>0</v>
      </c>
      <c r="BB332" s="189" t="s">
        <v>799</v>
      </c>
      <c r="BC332" s="191"/>
      <c r="BD332" s="41">
        <v>3</v>
      </c>
      <c r="BE332" s="30"/>
      <c r="BF332" s="186"/>
      <c r="BG332" s="183"/>
      <c r="BH332" s="183"/>
    </row>
    <row r="333" spans="1:60" ht="30" hidden="1" customHeight="1">
      <c r="A333" s="115" t="s">
        <v>248</v>
      </c>
      <c r="B333" s="116" t="s">
        <v>1503</v>
      </c>
      <c r="C333" s="116" t="s">
        <v>1685</v>
      </c>
      <c r="D333" s="116"/>
      <c r="E333" s="117" t="s">
        <v>126</v>
      </c>
      <c r="F333" s="117" t="s">
        <v>321</v>
      </c>
      <c r="G333" s="116" t="s">
        <v>1686</v>
      </c>
      <c r="H333" s="119"/>
      <c r="I333" s="118"/>
      <c r="J333" s="41" t="s">
        <v>110</v>
      </c>
      <c r="K333" s="5">
        <v>0</v>
      </c>
      <c r="L333" s="41" t="s">
        <v>110</v>
      </c>
      <c r="M333" s="5">
        <v>0</v>
      </c>
      <c r="N333" s="7" t="s">
        <v>115</v>
      </c>
      <c r="O333" s="7">
        <v>0</v>
      </c>
      <c r="P333" s="5" t="s">
        <v>111</v>
      </c>
      <c r="Q333" s="5"/>
      <c r="R333" s="5" t="s">
        <v>112</v>
      </c>
      <c r="S333" s="5">
        <v>3</v>
      </c>
      <c r="T333" s="5" t="s">
        <v>253</v>
      </c>
      <c r="U333" s="5"/>
      <c r="V333" s="5"/>
      <c r="W333" s="175">
        <v>45992</v>
      </c>
      <c r="X333" s="175">
        <v>45992</v>
      </c>
      <c r="Y333" s="5"/>
      <c r="Z333" s="2" t="s">
        <v>1628</v>
      </c>
      <c r="AA333" s="2" t="s">
        <v>1687</v>
      </c>
      <c r="AB333" s="2" t="s">
        <v>1688</v>
      </c>
      <c r="AC333" s="2"/>
      <c r="AD333" s="50"/>
      <c r="AE333" s="50"/>
      <c r="AF333" s="12">
        <f t="shared" si="9"/>
        <v>54</v>
      </c>
      <c r="AG333" s="64">
        <v>60</v>
      </c>
      <c r="AH333" s="64" t="s">
        <v>1689</v>
      </c>
      <c r="AI333" s="64">
        <v>40</v>
      </c>
      <c r="AJ333" s="64"/>
      <c r="AK333" s="64">
        <v>60</v>
      </c>
      <c r="AL333" s="64" t="s">
        <v>1690</v>
      </c>
      <c r="AM333" s="64">
        <v>60</v>
      </c>
      <c r="AN333" s="64"/>
      <c r="AO333" s="63">
        <v>5.8</v>
      </c>
      <c r="AP333" s="59"/>
      <c r="AQ333" s="59"/>
      <c r="AR333" s="58"/>
      <c r="AS333" s="30">
        <v>0</v>
      </c>
      <c r="AT333" s="30">
        <v>0</v>
      </c>
      <c r="AU333" s="30">
        <v>0</v>
      </c>
      <c r="AV333" s="197">
        <v>0</v>
      </c>
      <c r="AW333" s="197">
        <v>0</v>
      </c>
      <c r="AX333" s="197">
        <v>0</v>
      </c>
      <c r="AY333" s="202"/>
      <c r="AZ333" s="202"/>
      <c r="BA333" s="202">
        <v>0</v>
      </c>
      <c r="BB333" s="189"/>
      <c r="BC333" s="191"/>
      <c r="BD333" s="192">
        <v>1</v>
      </c>
      <c r="BE333" s="30"/>
      <c r="BF333" s="186"/>
      <c r="BG333" s="183"/>
      <c r="BH333" s="183"/>
    </row>
    <row r="334" spans="1:60" ht="30" hidden="1" customHeight="1">
      <c r="A334" s="115" t="s">
        <v>1383</v>
      </c>
      <c r="B334" s="120" t="s">
        <v>1691</v>
      </c>
      <c r="C334" s="116" t="s">
        <v>1520</v>
      </c>
      <c r="D334" s="116"/>
      <c r="E334" s="117" t="s">
        <v>339</v>
      </c>
      <c r="F334" s="118" t="s">
        <v>340</v>
      </c>
      <c r="G334" s="120"/>
      <c r="H334" s="121"/>
      <c r="I334" s="41"/>
      <c r="J334" s="41" t="s">
        <v>110</v>
      </c>
      <c r="K334" s="117">
        <v>2</v>
      </c>
      <c r="L334" s="41" t="s">
        <v>110</v>
      </c>
      <c r="M334" s="117">
        <v>1</v>
      </c>
      <c r="N334" s="64" t="s">
        <v>115</v>
      </c>
      <c r="O334" s="64">
        <v>1</v>
      </c>
      <c r="P334" s="5" t="s">
        <v>111</v>
      </c>
      <c r="Q334" s="117"/>
      <c r="R334" s="5" t="s">
        <v>112</v>
      </c>
      <c r="S334" s="5">
        <v>3</v>
      </c>
      <c r="T334" s="5" t="s">
        <v>801</v>
      </c>
      <c r="U334" s="5"/>
      <c r="V334" s="5"/>
      <c r="W334" s="174">
        <v>45992</v>
      </c>
      <c r="X334" s="174">
        <v>45992</v>
      </c>
      <c r="Y334" s="5"/>
      <c r="Z334" s="3" t="s">
        <v>141</v>
      </c>
      <c r="AA334" s="3" t="s">
        <v>1388</v>
      </c>
      <c r="AB334" s="3" t="s">
        <v>517</v>
      </c>
      <c r="AC334" s="3" t="s">
        <v>1389</v>
      </c>
      <c r="AD334" s="3"/>
      <c r="AE334" s="3"/>
      <c r="AF334" s="12">
        <f t="shared" si="9"/>
        <v>86</v>
      </c>
      <c r="AG334" s="7">
        <v>80</v>
      </c>
      <c r="AH334" s="7"/>
      <c r="AI334" s="7">
        <v>100</v>
      </c>
      <c r="AJ334" s="7" t="s">
        <v>1390</v>
      </c>
      <c r="AK334" s="7">
        <v>80</v>
      </c>
      <c r="AL334" s="7"/>
      <c r="AM334" s="7">
        <v>80</v>
      </c>
      <c r="AN334" s="7"/>
      <c r="AO334" s="63">
        <v>5.8</v>
      </c>
      <c r="AP334" s="58">
        <v>1600</v>
      </c>
      <c r="AQ334" s="58">
        <v>420</v>
      </c>
      <c r="AR334" s="58">
        <v>420</v>
      </c>
      <c r="AS334" s="30">
        <v>29232</v>
      </c>
      <c r="AT334" s="30">
        <v>18560</v>
      </c>
      <c r="AU334" s="30">
        <v>47792</v>
      </c>
      <c r="AV334" s="197">
        <v>14616</v>
      </c>
      <c r="AW334" s="197">
        <v>9280</v>
      </c>
      <c r="AX334" s="197">
        <v>23896</v>
      </c>
      <c r="AY334" s="202"/>
      <c r="AZ334" s="202"/>
      <c r="BA334" s="202">
        <v>0</v>
      </c>
      <c r="BB334" s="189" t="s">
        <v>1523</v>
      </c>
      <c r="BC334" s="191"/>
      <c r="BD334" s="41">
        <v>3</v>
      </c>
      <c r="BE334" s="30"/>
      <c r="BF334" s="186"/>
      <c r="BG334" s="183"/>
      <c r="BH334" s="183"/>
    </row>
    <row r="335" spans="1:60" ht="30" hidden="1" customHeight="1">
      <c r="A335" s="115" t="s">
        <v>122</v>
      </c>
      <c r="B335" s="116" t="s">
        <v>1692</v>
      </c>
      <c r="C335" s="116" t="s">
        <v>1693</v>
      </c>
      <c r="D335" s="116"/>
      <c r="E335" s="117" t="s">
        <v>126</v>
      </c>
      <c r="F335" s="117" t="s">
        <v>152</v>
      </c>
      <c r="G335" s="116" t="s">
        <v>1694</v>
      </c>
      <c r="H335" s="119"/>
      <c r="I335" s="118"/>
      <c r="J335" s="41" t="s">
        <v>110</v>
      </c>
      <c r="K335" s="5">
        <v>1</v>
      </c>
      <c r="L335" s="41" t="s">
        <v>110</v>
      </c>
      <c r="M335" s="5">
        <v>1</v>
      </c>
      <c r="N335" s="7" t="s">
        <v>115</v>
      </c>
      <c r="O335" s="7">
        <v>1</v>
      </c>
      <c r="P335" s="5" t="s">
        <v>111</v>
      </c>
      <c r="Q335" s="5"/>
      <c r="R335" s="5" t="s">
        <v>112</v>
      </c>
      <c r="S335" s="5">
        <v>3</v>
      </c>
      <c r="T335" s="5" t="s">
        <v>285</v>
      </c>
      <c r="U335" s="5"/>
      <c r="V335" s="5"/>
      <c r="W335" s="175">
        <v>45992</v>
      </c>
      <c r="X335" s="175">
        <v>45992</v>
      </c>
      <c r="Y335" s="5"/>
      <c r="Z335" s="3" t="s">
        <v>116</v>
      </c>
      <c r="AA335" s="3" t="s">
        <v>1695</v>
      </c>
      <c r="AB335" s="3" t="s">
        <v>118</v>
      </c>
      <c r="AC335" s="3"/>
      <c r="AD335" s="3"/>
      <c r="AE335" s="3"/>
      <c r="AF335" s="12">
        <f t="shared" si="9"/>
        <v>52</v>
      </c>
      <c r="AG335" s="7">
        <v>40</v>
      </c>
      <c r="AH335" s="7"/>
      <c r="AI335" s="7">
        <v>40</v>
      </c>
      <c r="AJ335" s="7"/>
      <c r="AK335" s="7">
        <v>80</v>
      </c>
      <c r="AL335" s="7"/>
      <c r="AM335" s="7">
        <v>80</v>
      </c>
      <c r="AN335" s="7"/>
      <c r="AO335" s="63">
        <v>5.8</v>
      </c>
      <c r="AP335" s="58">
        <v>1600</v>
      </c>
      <c r="AQ335" s="58">
        <v>320</v>
      </c>
      <c r="AR335" s="58">
        <v>320</v>
      </c>
      <c r="AS335" s="30">
        <v>11136</v>
      </c>
      <c r="AT335" s="30">
        <v>9280</v>
      </c>
      <c r="AU335" s="30">
        <v>20416</v>
      </c>
      <c r="AV335" s="197">
        <v>11136</v>
      </c>
      <c r="AW335" s="197">
        <v>9280</v>
      </c>
      <c r="AX335" s="197">
        <v>20416</v>
      </c>
      <c r="AY335" s="202"/>
      <c r="AZ335" s="202"/>
      <c r="BA335" s="202">
        <v>0</v>
      </c>
      <c r="BB335" s="189" t="s">
        <v>211</v>
      </c>
      <c r="BC335" s="191"/>
      <c r="BD335" s="41">
        <v>3</v>
      </c>
      <c r="BE335" s="30"/>
      <c r="BF335" s="186"/>
      <c r="BG335" s="183"/>
      <c r="BH335" s="183"/>
    </row>
    <row r="336" spans="1:60" ht="30" hidden="1" customHeight="1">
      <c r="A336" s="115" t="s">
        <v>122</v>
      </c>
      <c r="B336" s="116" t="s">
        <v>1696</v>
      </c>
      <c r="C336" s="116" t="s">
        <v>1697</v>
      </c>
      <c r="D336" s="116"/>
      <c r="E336" s="117" t="s">
        <v>126</v>
      </c>
      <c r="F336" s="117" t="s">
        <v>127</v>
      </c>
      <c r="G336" s="116" t="s">
        <v>1698</v>
      </c>
      <c r="H336" s="119"/>
      <c r="I336" s="118"/>
      <c r="J336" s="41" t="s">
        <v>110</v>
      </c>
      <c r="K336" s="5">
        <v>0</v>
      </c>
      <c r="L336" s="41" t="s">
        <v>110</v>
      </c>
      <c r="M336" s="5">
        <v>0</v>
      </c>
      <c r="N336" s="7" t="s">
        <v>115</v>
      </c>
      <c r="O336" s="7">
        <v>0</v>
      </c>
      <c r="P336" s="5" t="s">
        <v>111</v>
      </c>
      <c r="Q336" s="5"/>
      <c r="R336" s="5" t="s">
        <v>112</v>
      </c>
      <c r="S336" s="5">
        <v>18</v>
      </c>
      <c r="T336" s="5" t="s">
        <v>801</v>
      </c>
      <c r="U336" s="5"/>
      <c r="V336" s="5"/>
      <c r="W336" s="174">
        <v>45992</v>
      </c>
      <c r="X336" s="174">
        <v>45992</v>
      </c>
      <c r="Y336" s="5"/>
      <c r="Z336" s="3" t="s">
        <v>306</v>
      </c>
      <c r="AA336" s="3" t="s">
        <v>1699</v>
      </c>
      <c r="AB336" s="3" t="s">
        <v>118</v>
      </c>
      <c r="AC336" s="3"/>
      <c r="AD336" s="3"/>
      <c r="AE336" s="3"/>
      <c r="AF336" s="12">
        <f t="shared" si="9"/>
        <v>52</v>
      </c>
      <c r="AG336" s="7">
        <v>40</v>
      </c>
      <c r="AH336" s="7"/>
      <c r="AI336" s="7">
        <v>40</v>
      </c>
      <c r="AJ336" s="7"/>
      <c r="AK336" s="7">
        <v>100</v>
      </c>
      <c r="AL336" s="7"/>
      <c r="AM336" s="7">
        <v>40</v>
      </c>
      <c r="AN336" s="7"/>
      <c r="AO336" s="63">
        <v>5.8</v>
      </c>
      <c r="AP336" s="58">
        <v>1600</v>
      </c>
      <c r="AQ336" s="58">
        <v>420</v>
      </c>
      <c r="AR336" s="58">
        <v>420</v>
      </c>
      <c r="AS336" s="30">
        <v>0</v>
      </c>
      <c r="AT336" s="30">
        <v>0</v>
      </c>
      <c r="AU336" s="30">
        <v>0</v>
      </c>
      <c r="AV336" s="197">
        <v>0</v>
      </c>
      <c r="AW336" s="197">
        <v>0</v>
      </c>
      <c r="AX336" s="197">
        <v>0</v>
      </c>
      <c r="AY336" s="202"/>
      <c r="AZ336" s="202"/>
      <c r="BA336" s="202">
        <v>0</v>
      </c>
      <c r="BB336" s="189" t="s">
        <v>799</v>
      </c>
      <c r="BC336" s="191"/>
      <c r="BD336" s="41">
        <v>3</v>
      </c>
      <c r="BE336" s="30"/>
      <c r="BF336" s="186"/>
      <c r="BG336" s="183"/>
      <c r="BH336" s="183"/>
    </row>
    <row r="337" spans="1:60" ht="30" hidden="1" customHeight="1">
      <c r="A337" s="115" t="s">
        <v>122</v>
      </c>
      <c r="B337" s="116" t="s">
        <v>1700</v>
      </c>
      <c r="C337" s="116" t="s">
        <v>1697</v>
      </c>
      <c r="D337" s="116"/>
      <c r="E337" s="117" t="s">
        <v>126</v>
      </c>
      <c r="F337" s="117" t="s">
        <v>152</v>
      </c>
      <c r="G337" s="116" t="s">
        <v>1701</v>
      </c>
      <c r="H337" s="119"/>
      <c r="I337" s="118"/>
      <c r="J337" s="41" t="s">
        <v>110</v>
      </c>
      <c r="K337" s="5">
        <v>0</v>
      </c>
      <c r="L337" s="41" t="s">
        <v>110</v>
      </c>
      <c r="M337" s="5">
        <v>0</v>
      </c>
      <c r="N337" s="7"/>
      <c r="O337" s="7"/>
      <c r="P337" s="5" t="s">
        <v>111</v>
      </c>
      <c r="Q337" s="5"/>
      <c r="R337" s="5" t="s">
        <v>112</v>
      </c>
      <c r="S337" s="5">
        <v>18</v>
      </c>
      <c r="T337" s="5" t="s">
        <v>801</v>
      </c>
      <c r="U337" s="5"/>
      <c r="V337" s="5"/>
      <c r="W337" s="174">
        <v>45992</v>
      </c>
      <c r="X337" s="174">
        <v>45992</v>
      </c>
      <c r="Y337" s="5"/>
      <c r="Z337" s="3" t="s">
        <v>306</v>
      </c>
      <c r="AA337" s="3" t="s">
        <v>1699</v>
      </c>
      <c r="AB337" s="3" t="s">
        <v>118</v>
      </c>
      <c r="AC337" s="3"/>
      <c r="AD337" s="3"/>
      <c r="AE337" s="3"/>
      <c r="AF337" s="12">
        <f t="shared" si="9"/>
        <v>52</v>
      </c>
      <c r="AG337" s="7">
        <v>40</v>
      </c>
      <c r="AH337" s="7"/>
      <c r="AI337" s="7">
        <v>40</v>
      </c>
      <c r="AJ337" s="7"/>
      <c r="AK337" s="7">
        <v>100</v>
      </c>
      <c r="AL337" s="7"/>
      <c r="AM337" s="7">
        <v>40</v>
      </c>
      <c r="AN337" s="7"/>
      <c r="AO337" s="63">
        <v>5.8</v>
      </c>
      <c r="AP337" s="58"/>
      <c r="AQ337" s="58"/>
      <c r="AR337" s="58"/>
      <c r="AS337" s="30">
        <v>0</v>
      </c>
      <c r="AT337" s="30">
        <v>0</v>
      </c>
      <c r="AU337" s="30">
        <v>0</v>
      </c>
      <c r="AV337" s="197">
        <v>0</v>
      </c>
      <c r="AW337" s="197">
        <v>0</v>
      </c>
      <c r="AX337" s="197">
        <v>0</v>
      </c>
      <c r="AY337" s="202"/>
      <c r="AZ337" s="202"/>
      <c r="BA337" s="202">
        <v>0</v>
      </c>
      <c r="BB337" s="189" t="s">
        <v>1702</v>
      </c>
      <c r="BC337" s="191"/>
      <c r="BD337" s="41">
        <v>3</v>
      </c>
      <c r="BE337" s="30"/>
      <c r="BF337" s="186"/>
      <c r="BG337" s="183"/>
      <c r="BH337" s="183"/>
    </row>
    <row r="338" spans="1:60" ht="30" hidden="1" customHeight="1">
      <c r="A338" s="115" t="s">
        <v>1703</v>
      </c>
      <c r="B338" s="116" t="s">
        <v>1704</v>
      </c>
      <c r="C338" s="116" t="s">
        <v>456</v>
      </c>
      <c r="D338" s="116" t="s">
        <v>1705</v>
      </c>
      <c r="E338" s="117" t="s">
        <v>126</v>
      </c>
      <c r="F338" s="117" t="s">
        <v>293</v>
      </c>
      <c r="G338" s="117" t="s">
        <v>540</v>
      </c>
      <c r="H338" s="119"/>
      <c r="I338" s="118" t="s">
        <v>341</v>
      </c>
      <c r="J338" s="41" t="s">
        <v>110</v>
      </c>
      <c r="K338" s="5">
        <v>0</v>
      </c>
      <c r="L338" s="41" t="s">
        <v>110</v>
      </c>
      <c r="M338" s="5">
        <v>0</v>
      </c>
      <c r="N338" s="7" t="s">
        <v>115</v>
      </c>
      <c r="O338" s="7">
        <v>1</v>
      </c>
      <c r="P338" s="5" t="s">
        <v>111</v>
      </c>
      <c r="Q338" s="5">
        <v>1</v>
      </c>
      <c r="R338" s="5" t="s">
        <v>112</v>
      </c>
      <c r="S338" s="5">
        <v>11</v>
      </c>
      <c r="T338" s="5" t="s">
        <v>1117</v>
      </c>
      <c r="U338" s="5" t="s">
        <v>1118</v>
      </c>
      <c r="V338" s="5" t="s">
        <v>1706</v>
      </c>
      <c r="W338" s="174">
        <v>45768</v>
      </c>
      <c r="X338" s="174">
        <v>45778</v>
      </c>
      <c r="Y338" s="5"/>
      <c r="Z338" s="3" t="s">
        <v>293</v>
      </c>
      <c r="AA338" s="3" t="s">
        <v>1664</v>
      </c>
      <c r="AB338" s="3" t="s">
        <v>1680</v>
      </c>
      <c r="AC338" s="3"/>
      <c r="AD338" s="3"/>
      <c r="AE338" s="3"/>
      <c r="AF338" s="12">
        <f t="shared" si="9"/>
        <v>0</v>
      </c>
      <c r="AG338" s="7"/>
      <c r="AH338" s="7"/>
      <c r="AI338" s="7"/>
      <c r="AJ338" s="7"/>
      <c r="AK338" s="7"/>
      <c r="AL338" s="7"/>
      <c r="AM338" s="7"/>
      <c r="AN338" s="7"/>
      <c r="AO338" s="63">
        <v>5.8</v>
      </c>
      <c r="AP338" s="58">
        <v>0</v>
      </c>
      <c r="AQ338" s="58">
        <v>0</v>
      </c>
      <c r="AR338" s="58">
        <v>0</v>
      </c>
      <c r="AS338" s="30"/>
      <c r="AT338" s="30"/>
      <c r="AU338" s="30">
        <v>0</v>
      </c>
      <c r="AV338" s="197"/>
      <c r="AW338" s="197"/>
      <c r="AX338" s="197"/>
      <c r="AY338" s="202"/>
      <c r="AZ338" s="202">
        <v>526.58000000000004</v>
      </c>
      <c r="BA338" s="202">
        <v>526.58000000000004</v>
      </c>
      <c r="BB338" s="189" t="s">
        <v>1707</v>
      </c>
      <c r="BC338" s="191" t="s">
        <v>1708</v>
      </c>
      <c r="BD338" s="192"/>
      <c r="BE338" s="169"/>
      <c r="BF338" s="114"/>
      <c r="BG338" s="184"/>
      <c r="BH338" s="184"/>
    </row>
    <row r="339" spans="1:60" ht="30" hidden="1" customHeight="1">
      <c r="A339" s="115" t="s">
        <v>122</v>
      </c>
      <c r="B339" s="116" t="s">
        <v>1709</v>
      </c>
      <c r="C339" s="116" t="s">
        <v>1710</v>
      </c>
      <c r="D339" s="117" t="s">
        <v>1711</v>
      </c>
      <c r="E339" s="117" t="s">
        <v>126</v>
      </c>
      <c r="F339" s="117" t="s">
        <v>321</v>
      </c>
      <c r="G339" s="116" t="s">
        <v>1712</v>
      </c>
      <c r="H339" s="119"/>
      <c r="I339" s="118"/>
      <c r="J339" s="41" t="s">
        <v>110</v>
      </c>
      <c r="K339" s="5">
        <v>2</v>
      </c>
      <c r="L339" s="41" t="s">
        <v>110</v>
      </c>
      <c r="M339" s="5">
        <v>1</v>
      </c>
      <c r="N339" s="7" t="s">
        <v>115</v>
      </c>
      <c r="O339" s="7">
        <v>2</v>
      </c>
      <c r="P339" s="5" t="s">
        <v>111</v>
      </c>
      <c r="Q339" s="5"/>
      <c r="R339" s="5" t="s">
        <v>112</v>
      </c>
      <c r="S339" s="5">
        <v>5</v>
      </c>
      <c r="T339" s="5" t="s">
        <v>218</v>
      </c>
      <c r="U339" s="5" t="s">
        <v>219</v>
      </c>
      <c r="V339" s="5"/>
      <c r="W339" s="174">
        <v>45999</v>
      </c>
      <c r="X339" s="174">
        <v>46003</v>
      </c>
      <c r="Y339" s="5" t="s">
        <v>115</v>
      </c>
      <c r="Z339" s="3" t="s">
        <v>220</v>
      </c>
      <c r="AA339" s="3" t="s">
        <v>1713</v>
      </c>
      <c r="AB339" s="3" t="s">
        <v>118</v>
      </c>
      <c r="AC339" s="3" t="s">
        <v>325</v>
      </c>
      <c r="AD339" s="3" t="s">
        <v>1714</v>
      </c>
      <c r="AE339" s="3" t="s">
        <v>326</v>
      </c>
      <c r="AF339" s="12">
        <f t="shared" si="9"/>
        <v>86</v>
      </c>
      <c r="AG339" s="7">
        <v>80</v>
      </c>
      <c r="AH339" s="7"/>
      <c r="AI339" s="7">
        <v>100</v>
      </c>
      <c r="AJ339" s="7" t="s">
        <v>1715</v>
      </c>
      <c r="AK339" s="7">
        <v>80</v>
      </c>
      <c r="AL339" s="7"/>
      <c r="AM339" s="7">
        <v>80</v>
      </c>
      <c r="AN339" s="7"/>
      <c r="AO339" s="63">
        <v>5.8</v>
      </c>
      <c r="AP339" s="58">
        <v>1600</v>
      </c>
      <c r="AQ339" s="58">
        <v>320</v>
      </c>
      <c r="AR339" s="58">
        <v>320</v>
      </c>
      <c r="AS339" s="30">
        <v>29696</v>
      </c>
      <c r="AT339" s="30">
        <v>18560</v>
      </c>
      <c r="AU339" s="30">
        <v>48256</v>
      </c>
      <c r="AV339" s="197">
        <v>14848</v>
      </c>
      <c r="AW339" s="197">
        <v>9280</v>
      </c>
      <c r="AX339" s="197">
        <v>24128</v>
      </c>
      <c r="AY339" s="202"/>
      <c r="AZ339" s="202"/>
      <c r="BA339" s="202">
        <v>0</v>
      </c>
      <c r="BB339" s="189" t="s">
        <v>1716</v>
      </c>
      <c r="BC339" s="191"/>
      <c r="BD339" s="41">
        <v>3</v>
      </c>
      <c r="BE339" s="30"/>
      <c r="BF339" s="186"/>
      <c r="BG339" s="183"/>
      <c r="BH339" s="183"/>
    </row>
    <row r="340" spans="1:60" ht="30" hidden="1" customHeight="1">
      <c r="A340" s="115" t="s">
        <v>122</v>
      </c>
      <c r="B340" s="116" t="s">
        <v>1709</v>
      </c>
      <c r="C340" s="116" t="s">
        <v>1710</v>
      </c>
      <c r="D340" s="117" t="s">
        <v>1711</v>
      </c>
      <c r="E340" s="117" t="s">
        <v>165</v>
      </c>
      <c r="F340" s="117" t="s">
        <v>166</v>
      </c>
      <c r="G340" s="116" t="s">
        <v>1717</v>
      </c>
      <c r="H340" s="119"/>
      <c r="I340" s="118"/>
      <c r="J340" s="41" t="s">
        <v>110</v>
      </c>
      <c r="K340" s="5">
        <v>2</v>
      </c>
      <c r="L340" s="41" t="s">
        <v>110</v>
      </c>
      <c r="M340" s="5">
        <v>1</v>
      </c>
      <c r="N340" s="7" t="s">
        <v>115</v>
      </c>
      <c r="O340" s="7">
        <v>1</v>
      </c>
      <c r="P340" s="5" t="s">
        <v>111</v>
      </c>
      <c r="Q340" s="5"/>
      <c r="R340" s="5" t="s">
        <v>112</v>
      </c>
      <c r="S340" s="5">
        <v>5</v>
      </c>
      <c r="T340" s="5" t="s">
        <v>218</v>
      </c>
      <c r="U340" s="5" t="s">
        <v>219</v>
      </c>
      <c r="V340" s="5"/>
      <c r="W340" s="174">
        <v>45999</v>
      </c>
      <c r="X340" s="174">
        <v>46003</v>
      </c>
      <c r="Y340" s="5" t="s">
        <v>115</v>
      </c>
      <c r="Z340" s="3" t="s">
        <v>220</v>
      </c>
      <c r="AA340" s="3" t="s">
        <v>466</v>
      </c>
      <c r="AB340" s="3" t="s">
        <v>118</v>
      </c>
      <c r="AC340" s="3"/>
      <c r="AD340" s="3"/>
      <c r="AE340" s="3"/>
      <c r="AF340" s="12">
        <f t="shared" si="9"/>
        <v>66</v>
      </c>
      <c r="AG340" s="7">
        <v>80</v>
      </c>
      <c r="AH340" s="7"/>
      <c r="AI340" s="7">
        <v>60</v>
      </c>
      <c r="AJ340" s="7" t="s">
        <v>474</v>
      </c>
      <c r="AK340" s="7">
        <v>40</v>
      </c>
      <c r="AL340" s="7"/>
      <c r="AM340" s="7">
        <v>80</v>
      </c>
      <c r="AN340" s="7"/>
      <c r="AO340" s="63">
        <v>5.8</v>
      </c>
      <c r="AP340" s="58">
        <v>1600</v>
      </c>
      <c r="AQ340" s="58">
        <v>330</v>
      </c>
      <c r="AR340" s="58">
        <v>330</v>
      </c>
      <c r="AS340" s="30">
        <v>30624</v>
      </c>
      <c r="AT340" s="30">
        <v>18560</v>
      </c>
      <c r="AU340" s="30">
        <v>49184</v>
      </c>
      <c r="AV340" s="197">
        <v>15312</v>
      </c>
      <c r="AW340" s="197">
        <v>9280</v>
      </c>
      <c r="AX340" s="197">
        <v>24592</v>
      </c>
      <c r="AY340" s="202"/>
      <c r="AZ340" s="202"/>
      <c r="BA340" s="202">
        <v>0</v>
      </c>
      <c r="BB340" s="189"/>
      <c r="BC340" s="189"/>
      <c r="BD340" s="189">
        <v>3</v>
      </c>
      <c r="BE340" s="30"/>
      <c r="BF340" s="186"/>
      <c r="BG340" s="183"/>
      <c r="BH340" s="183"/>
    </row>
    <row r="341" spans="1:60" ht="30" hidden="1" customHeight="1">
      <c r="A341" s="115" t="s">
        <v>192</v>
      </c>
      <c r="B341" s="116" t="s">
        <v>1718</v>
      </c>
      <c r="C341" s="116" t="s">
        <v>1719</v>
      </c>
      <c r="D341" s="116"/>
      <c r="E341" s="117" t="s">
        <v>165</v>
      </c>
      <c r="F341" s="117" t="s">
        <v>166</v>
      </c>
      <c r="G341" s="116" t="s">
        <v>1720</v>
      </c>
      <c r="H341" s="119"/>
      <c r="I341" s="118"/>
      <c r="J341" s="5" t="s">
        <v>110</v>
      </c>
      <c r="K341" s="5">
        <v>2</v>
      </c>
      <c r="L341" s="5" t="s">
        <v>178</v>
      </c>
      <c r="M341" s="5">
        <v>2</v>
      </c>
      <c r="N341" s="7"/>
      <c r="O341" s="7"/>
      <c r="P341" s="5" t="s">
        <v>179</v>
      </c>
      <c r="Q341" s="5"/>
      <c r="R341" s="5" t="s">
        <v>112</v>
      </c>
      <c r="S341" s="5">
        <v>3</v>
      </c>
      <c r="T341" s="41" t="s">
        <v>924</v>
      </c>
      <c r="U341" s="5"/>
      <c r="V341" s="5" t="s">
        <v>115</v>
      </c>
      <c r="W341" s="174"/>
      <c r="X341" s="174"/>
      <c r="Y341" s="5"/>
      <c r="Z341" s="3" t="s">
        <v>862</v>
      </c>
      <c r="AA341" s="3" t="s">
        <v>863</v>
      </c>
      <c r="AB341" s="3" t="s">
        <v>517</v>
      </c>
      <c r="AC341" s="3" t="s">
        <v>864</v>
      </c>
      <c r="AD341" s="3"/>
      <c r="AE341" s="3"/>
      <c r="AF341" s="12">
        <f t="shared" si="9"/>
        <v>94</v>
      </c>
      <c r="AG341" s="7">
        <v>100</v>
      </c>
      <c r="AH341" s="7"/>
      <c r="AI341" s="7">
        <v>80</v>
      </c>
      <c r="AJ341" s="7"/>
      <c r="AK341" s="7">
        <v>100</v>
      </c>
      <c r="AL341" s="7" t="s">
        <v>192</v>
      </c>
      <c r="AM341" s="7">
        <v>100</v>
      </c>
      <c r="AN341" s="7" t="s">
        <v>865</v>
      </c>
      <c r="AO341" s="63">
        <v>5.8</v>
      </c>
      <c r="AP341" s="58">
        <v>800</v>
      </c>
      <c r="AQ341" s="58">
        <f>AVERAGE(300,280)</f>
        <v>290</v>
      </c>
      <c r="AR341" s="58">
        <f>AVERAGE(300,280)</f>
        <v>290</v>
      </c>
      <c r="AS341" s="30">
        <v>16820</v>
      </c>
      <c r="AT341" s="30">
        <v>9280</v>
      </c>
      <c r="AU341" s="30">
        <v>26100</v>
      </c>
      <c r="AV341" s="197">
        <v>16820</v>
      </c>
      <c r="AW341" s="197">
        <v>9280</v>
      </c>
      <c r="AX341" s="197">
        <v>26100</v>
      </c>
      <c r="AY341" s="202"/>
      <c r="AZ341" s="202"/>
      <c r="BA341" s="202">
        <v>0</v>
      </c>
      <c r="BB341" s="189" t="s">
        <v>866</v>
      </c>
      <c r="BC341" s="191"/>
      <c r="BD341" s="41">
        <v>2</v>
      </c>
      <c r="BE341" s="30"/>
      <c r="BF341" s="186"/>
      <c r="BG341" s="183"/>
      <c r="BH341" s="183"/>
    </row>
    <row r="342" spans="1:60" ht="30" hidden="1" customHeight="1">
      <c r="A342" s="115" t="s">
        <v>192</v>
      </c>
      <c r="B342" s="116" t="s">
        <v>1721</v>
      </c>
      <c r="C342" s="116" t="s">
        <v>1722</v>
      </c>
      <c r="D342" s="116"/>
      <c r="E342" s="117" t="s">
        <v>165</v>
      </c>
      <c r="F342" s="117" t="s">
        <v>166</v>
      </c>
      <c r="G342" s="116"/>
      <c r="H342" s="119"/>
      <c r="I342" s="118"/>
      <c r="J342" s="41" t="s">
        <v>110</v>
      </c>
      <c r="K342" s="5">
        <v>2</v>
      </c>
      <c r="L342" s="41" t="s">
        <v>178</v>
      </c>
      <c r="M342" s="5">
        <v>2</v>
      </c>
      <c r="N342" s="7"/>
      <c r="O342" s="7"/>
      <c r="P342" s="5" t="s">
        <v>179</v>
      </c>
      <c r="Q342" s="5"/>
      <c r="R342" s="5" t="s">
        <v>112</v>
      </c>
      <c r="S342" s="5">
        <v>3</v>
      </c>
      <c r="T342" s="5" t="s">
        <v>411</v>
      </c>
      <c r="U342" s="5"/>
      <c r="V342" s="5" t="s">
        <v>115</v>
      </c>
      <c r="W342" s="175"/>
      <c r="X342" s="175"/>
      <c r="Y342" s="5"/>
      <c r="Z342" s="3" t="s">
        <v>862</v>
      </c>
      <c r="AA342" s="3" t="s">
        <v>863</v>
      </c>
      <c r="AB342" s="3" t="s">
        <v>517</v>
      </c>
      <c r="AC342" s="3" t="s">
        <v>864</v>
      </c>
      <c r="AD342" s="3"/>
      <c r="AE342" s="3"/>
      <c r="AF342" s="12">
        <f t="shared" si="9"/>
        <v>94</v>
      </c>
      <c r="AG342" s="7">
        <v>100</v>
      </c>
      <c r="AH342" s="7"/>
      <c r="AI342" s="7">
        <v>80</v>
      </c>
      <c r="AJ342" s="7"/>
      <c r="AK342" s="7">
        <v>100</v>
      </c>
      <c r="AL342" s="7" t="s">
        <v>192</v>
      </c>
      <c r="AM342" s="7">
        <v>100</v>
      </c>
      <c r="AN342" s="7" t="s">
        <v>865</v>
      </c>
      <c r="AO342" s="63">
        <v>5.8</v>
      </c>
      <c r="AP342" s="58">
        <v>800</v>
      </c>
      <c r="AQ342" s="58">
        <f>AVERAGE(220,200)</f>
        <v>210</v>
      </c>
      <c r="AR342" s="58">
        <f>AVERAGE(220,200)</f>
        <v>210</v>
      </c>
      <c r="AS342" s="30">
        <v>12180</v>
      </c>
      <c r="AT342" s="30">
        <v>9280</v>
      </c>
      <c r="AU342" s="30">
        <v>21460</v>
      </c>
      <c r="AV342" s="197">
        <v>12180</v>
      </c>
      <c r="AW342" s="197">
        <v>9280</v>
      </c>
      <c r="AX342" s="197">
        <v>21460</v>
      </c>
      <c r="AY342" s="202"/>
      <c r="AZ342" s="202"/>
      <c r="BA342" s="202">
        <v>0</v>
      </c>
      <c r="BB342" s="189" t="s">
        <v>866</v>
      </c>
      <c r="BC342" s="191"/>
      <c r="BD342" s="41">
        <v>2</v>
      </c>
      <c r="BE342" s="30"/>
      <c r="BF342" s="186"/>
      <c r="BG342" s="183"/>
      <c r="BH342" s="183"/>
    </row>
    <row r="343" spans="1:60" ht="30" hidden="1" customHeight="1">
      <c r="A343" s="168" t="s">
        <v>1723</v>
      </c>
      <c r="B343" s="119" t="s">
        <v>1724</v>
      </c>
      <c r="C343" s="119"/>
      <c r="D343" s="119"/>
      <c r="E343" s="118" t="s">
        <v>107</v>
      </c>
      <c r="F343" s="118" t="s">
        <v>108</v>
      </c>
      <c r="G343" s="119" t="s">
        <v>1725</v>
      </c>
      <c r="H343" s="119"/>
      <c r="I343" s="118"/>
      <c r="J343" s="41" t="s">
        <v>178</v>
      </c>
      <c r="K343" s="41">
        <v>2</v>
      </c>
      <c r="L343" s="41" t="s">
        <v>178</v>
      </c>
      <c r="M343" s="41">
        <v>2</v>
      </c>
      <c r="N343" s="39"/>
      <c r="O343" s="39"/>
      <c r="P343" s="5" t="s">
        <v>179</v>
      </c>
      <c r="Q343" s="41"/>
      <c r="R343" s="41" t="s">
        <v>112</v>
      </c>
      <c r="S343" s="41">
        <v>3</v>
      </c>
      <c r="T343" s="41" t="s">
        <v>260</v>
      </c>
      <c r="U343" s="41"/>
      <c r="V343" s="41"/>
      <c r="W343" s="174"/>
      <c r="X343" s="174"/>
      <c r="Y343" s="41"/>
      <c r="Z343" s="42" t="s">
        <v>141</v>
      </c>
      <c r="AA343" s="42" t="s">
        <v>1726</v>
      </c>
      <c r="AB343" s="42" t="s">
        <v>517</v>
      </c>
      <c r="AC343" s="42" t="s">
        <v>262</v>
      </c>
      <c r="AD343" s="42"/>
      <c r="AE343" s="42"/>
      <c r="AF343" s="38">
        <f t="shared" si="9"/>
        <v>94</v>
      </c>
      <c r="AG343" s="39">
        <v>100</v>
      </c>
      <c r="AH343" s="39"/>
      <c r="AI343" s="39">
        <v>80</v>
      </c>
      <c r="AJ343" s="39"/>
      <c r="AK343" s="39">
        <v>100</v>
      </c>
      <c r="AL343" s="39"/>
      <c r="AM343" s="39">
        <v>100</v>
      </c>
      <c r="AN343" s="39"/>
      <c r="AO343" s="63">
        <v>5.8</v>
      </c>
      <c r="AP343" s="58">
        <v>1600</v>
      </c>
      <c r="AQ343" s="58">
        <v>330</v>
      </c>
      <c r="AR343" s="58">
        <v>330</v>
      </c>
      <c r="AS343" s="30">
        <v>22968</v>
      </c>
      <c r="AT343" s="30">
        <v>18560</v>
      </c>
      <c r="AU343" s="30">
        <v>41528</v>
      </c>
      <c r="AV343" s="197">
        <v>22968</v>
      </c>
      <c r="AW343" s="197">
        <v>18560</v>
      </c>
      <c r="AX343" s="197">
        <v>41528</v>
      </c>
      <c r="AY343" s="203"/>
      <c r="AZ343" s="203"/>
      <c r="BA343" s="203">
        <v>0</v>
      </c>
      <c r="BB343" s="191" t="s">
        <v>584</v>
      </c>
      <c r="BC343" s="191"/>
      <c r="BD343" s="190">
        <v>3</v>
      </c>
      <c r="BE343" s="40" t="s">
        <v>1727</v>
      </c>
      <c r="BF343" s="187"/>
      <c r="BG343" s="183"/>
      <c r="BH343" s="183"/>
    </row>
    <row r="344" spans="1:60" ht="30" hidden="1" customHeight="1">
      <c r="A344" s="168" t="s">
        <v>122</v>
      </c>
      <c r="B344" s="119" t="s">
        <v>1728</v>
      </c>
      <c r="C344" s="119" t="s">
        <v>786</v>
      </c>
      <c r="D344" s="119"/>
      <c r="E344" s="118" t="s">
        <v>402</v>
      </c>
      <c r="F344" s="118" t="s">
        <v>396</v>
      </c>
      <c r="G344" s="116" t="s">
        <v>1729</v>
      </c>
      <c r="H344" s="119" t="s">
        <v>591</v>
      </c>
      <c r="I344" s="118"/>
      <c r="J344" s="41" t="s">
        <v>110</v>
      </c>
      <c r="K344" s="41">
        <v>2</v>
      </c>
      <c r="L344" s="41" t="s">
        <v>178</v>
      </c>
      <c r="M344" s="41">
        <v>1</v>
      </c>
      <c r="N344" s="39"/>
      <c r="O344" s="39"/>
      <c r="P344" s="5" t="s">
        <v>179</v>
      </c>
      <c r="Q344" s="41"/>
      <c r="R344" s="41" t="s">
        <v>112</v>
      </c>
      <c r="S344" s="41">
        <v>3</v>
      </c>
      <c r="T344" s="41" t="s">
        <v>801</v>
      </c>
      <c r="U344" s="41"/>
      <c r="V344" s="41"/>
      <c r="W344" s="174"/>
      <c r="X344" s="174"/>
      <c r="Y344" s="41"/>
      <c r="Z344" s="42" t="s">
        <v>116</v>
      </c>
      <c r="AA344" s="3" t="s">
        <v>1730</v>
      </c>
      <c r="AB344" s="42" t="s">
        <v>1731</v>
      </c>
      <c r="AC344" s="42"/>
      <c r="AD344" s="42"/>
      <c r="AE344" s="42"/>
      <c r="AF344" s="38">
        <f t="shared" si="9"/>
        <v>90</v>
      </c>
      <c r="AG344" s="39">
        <v>80</v>
      </c>
      <c r="AH344" s="39"/>
      <c r="AI344" s="39">
        <v>100</v>
      </c>
      <c r="AJ344" s="39" t="s">
        <v>898</v>
      </c>
      <c r="AK344" s="39">
        <v>100</v>
      </c>
      <c r="AL344" s="39"/>
      <c r="AM344" s="39">
        <v>80</v>
      </c>
      <c r="AN344" s="39"/>
      <c r="AO344" s="63">
        <v>5.8</v>
      </c>
      <c r="AP344" s="58">
        <v>1600</v>
      </c>
      <c r="AQ344" s="58">
        <v>460</v>
      </c>
      <c r="AR344" s="58">
        <v>460</v>
      </c>
      <c r="AS344" s="30">
        <v>32016</v>
      </c>
      <c r="AT344" s="30">
        <v>18560</v>
      </c>
      <c r="AU344" s="30">
        <v>50576</v>
      </c>
      <c r="AV344" s="197">
        <v>16008</v>
      </c>
      <c r="AW344" s="197">
        <v>9280</v>
      </c>
      <c r="AX344" s="197">
        <v>25288</v>
      </c>
      <c r="AY344" s="203"/>
      <c r="AZ344" s="203"/>
      <c r="BA344" s="203">
        <v>0</v>
      </c>
      <c r="BB344" s="191" t="s">
        <v>899</v>
      </c>
      <c r="BC344" s="191"/>
      <c r="BD344" s="192">
        <v>3</v>
      </c>
      <c r="BE344" s="40"/>
      <c r="BF344" s="187"/>
      <c r="BG344" s="183"/>
      <c r="BH344" s="183"/>
    </row>
    <row r="345" spans="1:60" ht="30" hidden="1" customHeight="1">
      <c r="A345" s="168" t="s">
        <v>122</v>
      </c>
      <c r="B345" s="119" t="s">
        <v>1732</v>
      </c>
      <c r="C345" s="119" t="s">
        <v>1122</v>
      </c>
      <c r="D345" s="119"/>
      <c r="E345" s="118" t="s">
        <v>402</v>
      </c>
      <c r="F345" s="118" t="s">
        <v>396</v>
      </c>
      <c r="G345" s="119" t="s">
        <v>1733</v>
      </c>
      <c r="H345" s="119" t="s">
        <v>591</v>
      </c>
      <c r="I345" s="118"/>
      <c r="J345" s="41" t="s">
        <v>110</v>
      </c>
      <c r="K345" s="41">
        <v>1</v>
      </c>
      <c r="L345" s="41" t="s">
        <v>178</v>
      </c>
      <c r="M345" s="41">
        <v>1</v>
      </c>
      <c r="N345" s="39"/>
      <c r="O345" s="39"/>
      <c r="P345" s="5" t="s">
        <v>179</v>
      </c>
      <c r="Q345" s="41"/>
      <c r="R345" s="5" t="s">
        <v>112</v>
      </c>
      <c r="S345" s="41">
        <v>3</v>
      </c>
      <c r="T345" s="41" t="s">
        <v>285</v>
      </c>
      <c r="U345" s="41"/>
      <c r="V345" s="41"/>
      <c r="W345" s="174"/>
      <c r="X345" s="174"/>
      <c r="Y345" s="41"/>
      <c r="Z345" s="42" t="s">
        <v>116</v>
      </c>
      <c r="AA345" s="42" t="s">
        <v>1734</v>
      </c>
      <c r="AB345" s="42" t="s">
        <v>1125</v>
      </c>
      <c r="AC345" s="42"/>
      <c r="AD345" s="42"/>
      <c r="AE345" s="42"/>
      <c r="AF345" s="38">
        <f t="shared" si="9"/>
        <v>80</v>
      </c>
      <c r="AG345" s="39">
        <v>80</v>
      </c>
      <c r="AH345" s="39"/>
      <c r="AI345" s="39">
        <v>80</v>
      </c>
      <c r="AJ345" s="39"/>
      <c r="AK345" s="39">
        <v>80</v>
      </c>
      <c r="AL345" s="39"/>
      <c r="AM345" s="39">
        <v>80</v>
      </c>
      <c r="AN345" s="39"/>
      <c r="AO345" s="63">
        <v>5.8</v>
      </c>
      <c r="AP345" s="58">
        <v>1600</v>
      </c>
      <c r="AQ345" s="58">
        <v>350</v>
      </c>
      <c r="AR345" s="58">
        <v>350</v>
      </c>
      <c r="AS345" s="30">
        <v>12180</v>
      </c>
      <c r="AT345" s="30">
        <v>9280</v>
      </c>
      <c r="AU345" s="30">
        <v>21460</v>
      </c>
      <c r="AV345" s="197">
        <v>12180</v>
      </c>
      <c r="AW345" s="197">
        <v>9280</v>
      </c>
      <c r="AX345" s="197">
        <v>21460</v>
      </c>
      <c r="AY345" s="203"/>
      <c r="AZ345" s="203"/>
      <c r="BA345" s="203">
        <v>0</v>
      </c>
      <c r="BB345" s="191" t="s">
        <v>1735</v>
      </c>
      <c r="BC345" s="191"/>
      <c r="BD345" s="192">
        <v>3</v>
      </c>
      <c r="BE345" s="40"/>
      <c r="BF345" s="187"/>
      <c r="BG345" s="183"/>
      <c r="BH345" s="183"/>
    </row>
    <row r="346" spans="1:60" ht="30" hidden="1" customHeight="1">
      <c r="A346" s="168" t="s">
        <v>122</v>
      </c>
      <c r="B346" s="119" t="s">
        <v>1736</v>
      </c>
      <c r="C346" s="119" t="s">
        <v>1737</v>
      </c>
      <c r="D346" s="119"/>
      <c r="E346" s="118" t="s">
        <v>216</v>
      </c>
      <c r="F346" s="118" t="s">
        <v>217</v>
      </c>
      <c r="G346" s="119" t="s">
        <v>1738</v>
      </c>
      <c r="H346" s="119"/>
      <c r="I346" s="118"/>
      <c r="J346" s="41" t="s">
        <v>110</v>
      </c>
      <c r="K346" s="41">
        <v>1</v>
      </c>
      <c r="L346" s="41" t="s">
        <v>178</v>
      </c>
      <c r="M346" s="41">
        <v>1</v>
      </c>
      <c r="N346" s="39"/>
      <c r="O346" s="39"/>
      <c r="P346" s="5" t="s">
        <v>179</v>
      </c>
      <c r="Q346" s="41"/>
      <c r="R346" s="5" t="s">
        <v>112</v>
      </c>
      <c r="S346" s="41">
        <v>5</v>
      </c>
      <c r="T346" s="41" t="s">
        <v>218</v>
      </c>
      <c r="U346" s="41"/>
      <c r="V346" s="41"/>
      <c r="W346" s="174"/>
      <c r="X346" s="174"/>
      <c r="Y346" s="41"/>
      <c r="Z346" s="42" t="s">
        <v>116</v>
      </c>
      <c r="AA346" s="42" t="s">
        <v>1739</v>
      </c>
      <c r="AB346" s="42" t="s">
        <v>118</v>
      </c>
      <c r="AC346" s="42" t="s">
        <v>961</v>
      </c>
      <c r="AD346" s="42"/>
      <c r="AE346" s="42"/>
      <c r="AF346" s="38">
        <f t="shared" si="9"/>
        <v>80</v>
      </c>
      <c r="AG346" s="39">
        <v>80</v>
      </c>
      <c r="AH346" s="39"/>
      <c r="AI346" s="39">
        <v>80</v>
      </c>
      <c r="AJ346" s="39"/>
      <c r="AK346" s="39">
        <v>80</v>
      </c>
      <c r="AL346" s="39"/>
      <c r="AM346" s="39">
        <v>80</v>
      </c>
      <c r="AN346" s="39"/>
      <c r="AO346" s="63">
        <v>5.8</v>
      </c>
      <c r="AP346" s="58">
        <v>1600</v>
      </c>
      <c r="AQ346" s="58">
        <v>310</v>
      </c>
      <c r="AR346" s="58">
        <v>310</v>
      </c>
      <c r="AS346" s="30">
        <v>14384</v>
      </c>
      <c r="AT346" s="30">
        <v>9280</v>
      </c>
      <c r="AU346" s="30">
        <v>23664</v>
      </c>
      <c r="AV346" s="197">
        <v>14384</v>
      </c>
      <c r="AW346" s="197">
        <v>9280</v>
      </c>
      <c r="AX346" s="197">
        <v>23664</v>
      </c>
      <c r="AY346" s="203"/>
      <c r="AZ346" s="203"/>
      <c r="BA346" s="203">
        <v>0</v>
      </c>
      <c r="BB346" s="191" t="s">
        <v>975</v>
      </c>
      <c r="BC346" s="191"/>
      <c r="BD346" s="41">
        <v>3</v>
      </c>
      <c r="BE346" s="40" t="s">
        <v>968</v>
      </c>
      <c r="BF346" s="187" t="s">
        <v>969</v>
      </c>
      <c r="BG346" s="183"/>
      <c r="BH346" s="183"/>
    </row>
    <row r="347" spans="1:60" ht="30" hidden="1" customHeight="1">
      <c r="A347" s="168" t="s">
        <v>122</v>
      </c>
      <c r="B347" s="119" t="s">
        <v>1740</v>
      </c>
      <c r="C347" s="119" t="s">
        <v>1741</v>
      </c>
      <c r="D347" s="119"/>
      <c r="E347" s="118" t="s">
        <v>274</v>
      </c>
      <c r="F347" s="118" t="s">
        <v>275</v>
      </c>
      <c r="G347" s="119" t="s">
        <v>1742</v>
      </c>
      <c r="H347" s="119"/>
      <c r="I347" s="118"/>
      <c r="J347" s="41" t="s">
        <v>178</v>
      </c>
      <c r="K347" s="41">
        <v>1</v>
      </c>
      <c r="L347" s="41" t="s">
        <v>178</v>
      </c>
      <c r="M347" s="41">
        <v>1</v>
      </c>
      <c r="N347" s="39"/>
      <c r="O347" s="39"/>
      <c r="P347" s="5" t="s">
        <v>179</v>
      </c>
      <c r="Q347" s="41"/>
      <c r="R347" s="5" t="s">
        <v>112</v>
      </c>
      <c r="S347" s="41">
        <v>5</v>
      </c>
      <c r="T347" s="5" t="s">
        <v>218</v>
      </c>
      <c r="U347" s="41"/>
      <c r="V347" s="41"/>
      <c r="W347" s="174"/>
      <c r="X347" s="174"/>
      <c r="Y347" s="41"/>
      <c r="Z347" s="42" t="s">
        <v>524</v>
      </c>
      <c r="AA347" s="37" t="s">
        <v>1743</v>
      </c>
      <c r="AB347" s="42" t="s">
        <v>118</v>
      </c>
      <c r="AC347" s="42" t="s">
        <v>356</v>
      </c>
      <c r="AD347" s="51"/>
      <c r="AE347" s="51"/>
      <c r="AF347" s="38">
        <f t="shared" si="9"/>
        <v>80</v>
      </c>
      <c r="AG347" s="39">
        <v>80</v>
      </c>
      <c r="AH347" s="39"/>
      <c r="AI347" s="39">
        <v>80</v>
      </c>
      <c r="AJ347" s="39"/>
      <c r="AK347" s="39">
        <v>80</v>
      </c>
      <c r="AL347" s="39" t="s">
        <v>1405</v>
      </c>
      <c r="AM347" s="39">
        <v>80</v>
      </c>
      <c r="AN347" s="39"/>
      <c r="AO347" s="63">
        <v>5.8</v>
      </c>
      <c r="AP347" s="58">
        <v>1600</v>
      </c>
      <c r="AQ347" s="58">
        <v>330</v>
      </c>
      <c r="AR347" s="58">
        <v>330</v>
      </c>
      <c r="AS347" s="30">
        <v>15312</v>
      </c>
      <c r="AT347" s="30">
        <v>9280</v>
      </c>
      <c r="AU347" s="30">
        <v>24592</v>
      </c>
      <c r="AV347" s="197">
        <v>15312</v>
      </c>
      <c r="AW347" s="197">
        <v>9280</v>
      </c>
      <c r="AX347" s="197">
        <v>24592</v>
      </c>
      <c r="AY347" s="203"/>
      <c r="AZ347" s="203"/>
      <c r="BA347" s="203">
        <v>0</v>
      </c>
      <c r="BB347" s="191" t="s">
        <v>1094</v>
      </c>
      <c r="BC347" s="191"/>
      <c r="BD347" s="192">
        <v>3</v>
      </c>
      <c r="BE347" s="40"/>
      <c r="BF347" s="187"/>
      <c r="BG347" s="183"/>
      <c r="BH347" s="183"/>
    </row>
    <row r="348" spans="1:60" ht="30" hidden="1" customHeight="1">
      <c r="A348" s="168" t="s">
        <v>192</v>
      </c>
      <c r="B348" s="119" t="s">
        <v>1744</v>
      </c>
      <c r="C348" s="119" t="s">
        <v>1745</v>
      </c>
      <c r="D348" s="119"/>
      <c r="E348" s="118" t="s">
        <v>216</v>
      </c>
      <c r="F348" s="118" t="s">
        <v>217</v>
      </c>
      <c r="G348" s="119" t="s">
        <v>1746</v>
      </c>
      <c r="H348" s="119"/>
      <c r="I348" s="118"/>
      <c r="J348" s="41" t="s">
        <v>178</v>
      </c>
      <c r="K348" s="41">
        <v>3</v>
      </c>
      <c r="L348" s="41" t="s">
        <v>178</v>
      </c>
      <c r="M348" s="41">
        <v>3</v>
      </c>
      <c r="N348" s="39"/>
      <c r="O348" s="39"/>
      <c r="P348" s="5" t="s">
        <v>179</v>
      </c>
      <c r="Q348" s="41"/>
      <c r="R348" s="5" t="s">
        <v>112</v>
      </c>
      <c r="S348" s="41">
        <v>4</v>
      </c>
      <c r="T348" s="41" t="s">
        <v>295</v>
      </c>
      <c r="U348" s="41"/>
      <c r="V348" s="41" t="s">
        <v>115</v>
      </c>
      <c r="W348" s="174"/>
      <c r="X348" s="174"/>
      <c r="Y348" s="41"/>
      <c r="Z348" s="42" t="s">
        <v>581</v>
      </c>
      <c r="AA348" s="42" t="s">
        <v>1747</v>
      </c>
      <c r="AB348" s="42" t="s">
        <v>517</v>
      </c>
      <c r="AC348" s="42" t="s">
        <v>1748</v>
      </c>
      <c r="AD348" s="42"/>
      <c r="AE348" s="42"/>
      <c r="AF348" s="38">
        <f t="shared" si="9"/>
        <v>80</v>
      </c>
      <c r="AG348" s="39">
        <v>100</v>
      </c>
      <c r="AH348" s="39"/>
      <c r="AI348" s="39">
        <v>40</v>
      </c>
      <c r="AJ348" s="39"/>
      <c r="AK348" s="39">
        <v>100</v>
      </c>
      <c r="AL348" s="39"/>
      <c r="AM348" s="39">
        <v>80</v>
      </c>
      <c r="AN348" s="39"/>
      <c r="AO348" s="63">
        <v>5.8</v>
      </c>
      <c r="AP348" s="58">
        <v>800</v>
      </c>
      <c r="AQ348" s="58">
        <v>330</v>
      </c>
      <c r="AR348" s="58">
        <v>330</v>
      </c>
      <c r="AS348" s="30">
        <v>34452</v>
      </c>
      <c r="AT348" s="30">
        <v>13920</v>
      </c>
      <c r="AU348" s="30">
        <v>48372</v>
      </c>
      <c r="AV348" s="197">
        <v>34452</v>
      </c>
      <c r="AW348" s="197">
        <v>13920</v>
      </c>
      <c r="AX348" s="197">
        <v>48372</v>
      </c>
      <c r="AY348" s="203"/>
      <c r="AZ348" s="203"/>
      <c r="BA348" s="203">
        <v>0</v>
      </c>
      <c r="BB348" s="191" t="s">
        <v>1106</v>
      </c>
      <c r="BC348" s="191"/>
      <c r="BD348" s="41">
        <v>2</v>
      </c>
      <c r="BE348" s="40" t="s">
        <v>1107</v>
      </c>
      <c r="BF348" s="187"/>
      <c r="BG348" s="183"/>
      <c r="BH348" s="183"/>
    </row>
    <row r="349" spans="1:60" ht="30" hidden="1" customHeight="1">
      <c r="A349" s="168" t="s">
        <v>122</v>
      </c>
      <c r="B349" s="119" t="s">
        <v>1749</v>
      </c>
      <c r="C349" s="119" t="s">
        <v>1750</v>
      </c>
      <c r="D349" s="119"/>
      <c r="E349" s="118" t="s">
        <v>216</v>
      </c>
      <c r="F349" s="118" t="s">
        <v>217</v>
      </c>
      <c r="G349" s="119" t="s">
        <v>1738</v>
      </c>
      <c r="H349" s="119"/>
      <c r="I349" s="118"/>
      <c r="J349" s="41" t="s">
        <v>178</v>
      </c>
      <c r="K349" s="41">
        <v>1</v>
      </c>
      <c r="L349" s="41" t="s">
        <v>178</v>
      </c>
      <c r="M349" s="41">
        <v>1</v>
      </c>
      <c r="N349" s="39"/>
      <c r="O349" s="39"/>
      <c r="P349" s="5" t="s">
        <v>179</v>
      </c>
      <c r="Q349" s="41"/>
      <c r="R349" s="5" t="s">
        <v>112</v>
      </c>
      <c r="S349" s="41">
        <v>5</v>
      </c>
      <c r="T349" s="41" t="s">
        <v>218</v>
      </c>
      <c r="U349" s="41"/>
      <c r="V349" s="41"/>
      <c r="W349" s="174"/>
      <c r="X349" s="174"/>
      <c r="Y349" s="41"/>
      <c r="Z349" s="42" t="s">
        <v>116</v>
      </c>
      <c r="AA349" s="42" t="s">
        <v>1739</v>
      </c>
      <c r="AB349" s="42" t="s">
        <v>118</v>
      </c>
      <c r="AC349" s="42" t="s">
        <v>961</v>
      </c>
      <c r="AD349" s="42"/>
      <c r="AE349" s="42"/>
      <c r="AF349" s="38">
        <f t="shared" si="9"/>
        <v>80</v>
      </c>
      <c r="AG349" s="7">
        <v>80</v>
      </c>
      <c r="AH349" s="7"/>
      <c r="AI349" s="7">
        <v>80</v>
      </c>
      <c r="AJ349" s="7"/>
      <c r="AK349" s="7">
        <v>80</v>
      </c>
      <c r="AL349" s="7"/>
      <c r="AM349" s="7">
        <v>80</v>
      </c>
      <c r="AN349" s="7"/>
      <c r="AO349" s="63">
        <v>5.8</v>
      </c>
      <c r="AP349" s="58">
        <v>1600</v>
      </c>
      <c r="AQ349" s="58">
        <v>330</v>
      </c>
      <c r="AR349" s="58">
        <v>330</v>
      </c>
      <c r="AS349" s="30">
        <v>15312</v>
      </c>
      <c r="AT349" s="30">
        <v>9280</v>
      </c>
      <c r="AU349" s="30">
        <v>24592</v>
      </c>
      <c r="AV349" s="197">
        <v>15312</v>
      </c>
      <c r="AW349" s="197">
        <v>9280</v>
      </c>
      <c r="AX349" s="197">
        <v>24592</v>
      </c>
      <c r="AY349" s="203"/>
      <c r="AZ349" s="203"/>
      <c r="BA349" s="203">
        <v>0</v>
      </c>
      <c r="BB349" s="191" t="s">
        <v>966</v>
      </c>
      <c r="BC349" s="191"/>
      <c r="BD349" s="189">
        <v>3</v>
      </c>
      <c r="BE349" s="40" t="s">
        <v>968</v>
      </c>
      <c r="BF349" s="187" t="s">
        <v>969</v>
      </c>
      <c r="BG349" s="183"/>
      <c r="BH349" s="183"/>
    </row>
    <row r="350" spans="1:60" ht="30" hidden="1" customHeight="1">
      <c r="A350" s="168" t="s">
        <v>122</v>
      </c>
      <c r="B350" s="119" t="s">
        <v>1740</v>
      </c>
      <c r="C350" s="119" t="s">
        <v>1741</v>
      </c>
      <c r="D350" s="119"/>
      <c r="E350" s="118" t="s">
        <v>201</v>
      </c>
      <c r="F350" s="118" t="s">
        <v>275</v>
      </c>
      <c r="G350" s="119" t="s">
        <v>1742</v>
      </c>
      <c r="H350" s="119"/>
      <c r="I350" s="118"/>
      <c r="J350" s="41" t="s">
        <v>178</v>
      </c>
      <c r="K350" s="41">
        <v>1</v>
      </c>
      <c r="L350" s="41" t="s">
        <v>178</v>
      </c>
      <c r="M350" s="41">
        <v>1</v>
      </c>
      <c r="N350" s="39"/>
      <c r="O350" s="39"/>
      <c r="P350" s="5" t="s">
        <v>179</v>
      </c>
      <c r="Q350" s="41"/>
      <c r="R350" s="5" t="s">
        <v>112</v>
      </c>
      <c r="S350" s="41">
        <v>5</v>
      </c>
      <c r="T350" s="41" t="s">
        <v>218</v>
      </c>
      <c r="U350" s="41"/>
      <c r="V350" s="5"/>
      <c r="W350" s="174"/>
      <c r="X350" s="174"/>
      <c r="Y350" s="41"/>
      <c r="Z350" s="42" t="s">
        <v>524</v>
      </c>
      <c r="AA350" s="37" t="s">
        <v>1743</v>
      </c>
      <c r="AB350" s="42" t="s">
        <v>118</v>
      </c>
      <c r="AC350" s="42" t="s">
        <v>356</v>
      </c>
      <c r="AD350" s="51"/>
      <c r="AE350" s="51"/>
      <c r="AF350" s="12">
        <f t="shared" si="9"/>
        <v>80</v>
      </c>
      <c r="AG350" s="39">
        <v>80</v>
      </c>
      <c r="AH350" s="39"/>
      <c r="AI350" s="39">
        <v>80</v>
      </c>
      <c r="AJ350" s="39"/>
      <c r="AK350" s="39">
        <v>80</v>
      </c>
      <c r="AL350" s="39" t="s">
        <v>1405</v>
      </c>
      <c r="AM350" s="39">
        <v>80</v>
      </c>
      <c r="AN350" s="39"/>
      <c r="AO350" s="63">
        <v>5.8</v>
      </c>
      <c r="AP350" s="58">
        <v>1600</v>
      </c>
      <c r="AQ350" s="58">
        <v>330</v>
      </c>
      <c r="AR350" s="60">
        <v>330</v>
      </c>
      <c r="AS350" s="30">
        <v>15312</v>
      </c>
      <c r="AT350" s="30">
        <v>9280</v>
      </c>
      <c r="AU350" s="30">
        <v>24592</v>
      </c>
      <c r="AV350" s="197">
        <v>15312</v>
      </c>
      <c r="AW350" s="197">
        <v>9280</v>
      </c>
      <c r="AX350" s="197">
        <v>24592</v>
      </c>
      <c r="AY350" s="203"/>
      <c r="AZ350" s="203"/>
      <c r="BA350" s="203">
        <v>0</v>
      </c>
      <c r="BB350" s="191" t="s">
        <v>1094</v>
      </c>
      <c r="BC350" s="191"/>
      <c r="BD350" s="190">
        <v>3</v>
      </c>
      <c r="BE350" s="40"/>
      <c r="BF350" s="187"/>
      <c r="BG350" s="183"/>
      <c r="BH350" s="183"/>
    </row>
    <row r="351" spans="1:60" ht="30" hidden="1" customHeight="1">
      <c r="A351" s="168" t="s">
        <v>122</v>
      </c>
      <c r="B351" s="119" t="s">
        <v>904</v>
      </c>
      <c r="C351" s="119" t="s">
        <v>340</v>
      </c>
      <c r="D351" s="119"/>
      <c r="E351" s="118" t="s">
        <v>126</v>
      </c>
      <c r="F351" s="118" t="s">
        <v>340</v>
      </c>
      <c r="G351" s="119" t="s">
        <v>1751</v>
      </c>
      <c r="H351" s="119"/>
      <c r="I351" s="118"/>
      <c r="J351" s="41" t="s">
        <v>110</v>
      </c>
      <c r="K351" s="41">
        <v>1</v>
      </c>
      <c r="L351" s="41" t="s">
        <v>178</v>
      </c>
      <c r="M351" s="41">
        <v>1</v>
      </c>
      <c r="N351" s="39"/>
      <c r="O351" s="39"/>
      <c r="P351" s="5" t="s">
        <v>179</v>
      </c>
      <c r="Q351" s="41"/>
      <c r="R351" s="5" t="s">
        <v>112</v>
      </c>
      <c r="S351" s="41">
        <v>5</v>
      </c>
      <c r="T351" s="41" t="s">
        <v>285</v>
      </c>
      <c r="U351" s="41"/>
      <c r="V351" s="41"/>
      <c r="W351" s="174"/>
      <c r="X351" s="174"/>
      <c r="Y351" s="41"/>
      <c r="Z351" s="42" t="s">
        <v>220</v>
      </c>
      <c r="AA351" s="42" t="s">
        <v>950</v>
      </c>
      <c r="AB351" s="42" t="s">
        <v>118</v>
      </c>
      <c r="AC351" s="42"/>
      <c r="AD351" s="42"/>
      <c r="AE351" s="42"/>
      <c r="AF351" s="12">
        <f t="shared" si="9"/>
        <v>78</v>
      </c>
      <c r="AG351" s="39">
        <v>80</v>
      </c>
      <c r="AH351" s="39"/>
      <c r="AI351" s="39">
        <v>100</v>
      </c>
      <c r="AJ351" s="39" t="s">
        <v>1752</v>
      </c>
      <c r="AK351" s="39">
        <v>40</v>
      </c>
      <c r="AL351" s="39"/>
      <c r="AM351" s="39">
        <v>80</v>
      </c>
      <c r="AN351" s="39"/>
      <c r="AO351" s="63">
        <v>5.8</v>
      </c>
      <c r="AP351" s="58">
        <v>1600</v>
      </c>
      <c r="AQ351" s="58">
        <v>320</v>
      </c>
      <c r="AR351" s="58">
        <v>320</v>
      </c>
      <c r="AS351" s="30">
        <v>14848</v>
      </c>
      <c r="AT351" s="30">
        <v>9280</v>
      </c>
      <c r="AU351" s="30">
        <v>24128</v>
      </c>
      <c r="AV351" s="197">
        <v>14848</v>
      </c>
      <c r="AW351" s="197">
        <v>9280</v>
      </c>
      <c r="AX351" s="197">
        <v>24128</v>
      </c>
      <c r="AY351" s="203"/>
      <c r="AZ351" s="203"/>
      <c r="BA351" s="203">
        <v>0</v>
      </c>
      <c r="BB351" s="191" t="s">
        <v>1753</v>
      </c>
      <c r="BC351" s="191"/>
      <c r="BD351" s="189">
        <v>3</v>
      </c>
      <c r="BE351" s="40"/>
      <c r="BF351" s="187"/>
      <c r="BG351" s="183"/>
      <c r="BH351" s="183"/>
    </row>
    <row r="352" spans="1:60" ht="30" hidden="1" customHeight="1">
      <c r="A352" s="168" t="s">
        <v>135</v>
      </c>
      <c r="B352" s="119" t="s">
        <v>1754</v>
      </c>
      <c r="C352" s="119" t="s">
        <v>1115</v>
      </c>
      <c r="D352" s="119"/>
      <c r="E352" s="118" t="s">
        <v>107</v>
      </c>
      <c r="F352" s="118" t="s">
        <v>108</v>
      </c>
      <c r="G352" s="119"/>
      <c r="H352" s="119"/>
      <c r="I352" s="118"/>
      <c r="J352" s="41" t="s">
        <v>178</v>
      </c>
      <c r="K352" s="41">
        <v>1</v>
      </c>
      <c r="L352" s="41" t="s">
        <v>178</v>
      </c>
      <c r="M352" s="41">
        <v>1</v>
      </c>
      <c r="N352" s="39"/>
      <c r="O352" s="39"/>
      <c r="P352" s="5" t="s">
        <v>179</v>
      </c>
      <c r="Q352" s="41"/>
      <c r="R352" s="41" t="s">
        <v>112</v>
      </c>
      <c r="S352" s="41">
        <v>4</v>
      </c>
      <c r="T352" s="41" t="s">
        <v>139</v>
      </c>
      <c r="U352" s="41"/>
      <c r="V352" s="41"/>
      <c r="W352" s="174"/>
      <c r="X352" s="174"/>
      <c r="Y352" s="41"/>
      <c r="Z352" s="42" t="s">
        <v>141</v>
      </c>
      <c r="AA352" s="42" t="s">
        <v>632</v>
      </c>
      <c r="AB352" s="42" t="s">
        <v>118</v>
      </c>
      <c r="AC352" s="42" t="s">
        <v>119</v>
      </c>
      <c r="AD352" s="42"/>
      <c r="AE352" s="42"/>
      <c r="AF352" s="38">
        <f t="shared" si="9"/>
        <v>76</v>
      </c>
      <c r="AG352" s="39">
        <v>80</v>
      </c>
      <c r="AH352" s="39" t="s">
        <v>633</v>
      </c>
      <c r="AI352" s="39">
        <v>80</v>
      </c>
      <c r="AJ352" s="39" t="s">
        <v>634</v>
      </c>
      <c r="AK352" s="39">
        <v>60</v>
      </c>
      <c r="AL352" s="39" t="s">
        <v>635</v>
      </c>
      <c r="AM352" s="39">
        <v>80</v>
      </c>
      <c r="AN352" s="39" t="s">
        <v>146</v>
      </c>
      <c r="AO352" s="63">
        <v>5.8</v>
      </c>
      <c r="AP352" s="58">
        <v>1600</v>
      </c>
      <c r="AQ352" s="58">
        <v>420</v>
      </c>
      <c r="AR352" s="58">
        <v>420</v>
      </c>
      <c r="AS352" s="30">
        <v>17052</v>
      </c>
      <c r="AT352" s="30">
        <v>9280</v>
      </c>
      <c r="AU352" s="30">
        <v>26332</v>
      </c>
      <c r="AV352" s="197">
        <v>17052</v>
      </c>
      <c r="AW352" s="197">
        <v>9280</v>
      </c>
      <c r="AX352" s="197">
        <v>26332</v>
      </c>
      <c r="AY352" s="203"/>
      <c r="AZ352" s="203"/>
      <c r="BA352" s="203">
        <v>0</v>
      </c>
      <c r="BB352" s="191" t="s">
        <v>636</v>
      </c>
      <c r="BC352" s="191"/>
      <c r="BD352" s="190">
        <v>3</v>
      </c>
      <c r="BE352" s="40" t="s">
        <v>803</v>
      </c>
      <c r="BF352" s="187"/>
      <c r="BG352" s="183"/>
      <c r="BH352" s="183"/>
    </row>
    <row r="353" spans="1:60" ht="30" hidden="1" customHeight="1">
      <c r="A353" s="168" t="s">
        <v>135</v>
      </c>
      <c r="B353" s="119" t="s">
        <v>1755</v>
      </c>
      <c r="C353" s="119" t="s">
        <v>442</v>
      </c>
      <c r="D353" s="119"/>
      <c r="E353" s="118" t="s">
        <v>107</v>
      </c>
      <c r="F353" s="118" t="s">
        <v>108</v>
      </c>
      <c r="G353" s="119" t="s">
        <v>186</v>
      </c>
      <c r="H353" s="119"/>
      <c r="I353" s="118"/>
      <c r="J353" s="41" t="s">
        <v>178</v>
      </c>
      <c r="K353" s="41">
        <v>1</v>
      </c>
      <c r="L353" s="41" t="s">
        <v>178</v>
      </c>
      <c r="M353" s="41">
        <v>1</v>
      </c>
      <c r="N353" s="39"/>
      <c r="O353" s="39"/>
      <c r="P353" s="5" t="s">
        <v>179</v>
      </c>
      <c r="Q353" s="41"/>
      <c r="R353" s="5" t="s">
        <v>112</v>
      </c>
      <c r="S353" s="41">
        <v>4</v>
      </c>
      <c r="T353" s="41" t="s">
        <v>630</v>
      </c>
      <c r="U353" s="41"/>
      <c r="V353" s="41"/>
      <c r="W353" s="174"/>
      <c r="X353" s="174"/>
      <c r="Y353" s="41"/>
      <c r="Z353" s="42" t="s">
        <v>141</v>
      </c>
      <c r="AA353" s="37" t="s">
        <v>640</v>
      </c>
      <c r="AB353" s="42" t="s">
        <v>118</v>
      </c>
      <c r="AC353" s="42" t="s">
        <v>119</v>
      </c>
      <c r="AD353" s="51"/>
      <c r="AE353" s="51"/>
      <c r="AF353" s="38">
        <f t="shared" si="9"/>
        <v>76</v>
      </c>
      <c r="AG353" s="39">
        <v>80</v>
      </c>
      <c r="AH353" s="39" t="s">
        <v>633</v>
      </c>
      <c r="AI353" s="39">
        <v>80</v>
      </c>
      <c r="AJ353" s="39" t="s">
        <v>634</v>
      </c>
      <c r="AK353" s="39">
        <v>60</v>
      </c>
      <c r="AL353" s="39" t="s">
        <v>635</v>
      </c>
      <c r="AM353" s="39">
        <v>80</v>
      </c>
      <c r="AN353" s="39" t="s">
        <v>146</v>
      </c>
      <c r="AO353" s="63">
        <v>5.8</v>
      </c>
      <c r="AP353" s="58">
        <v>1600</v>
      </c>
      <c r="AQ353" s="58">
        <v>310</v>
      </c>
      <c r="AR353" s="58">
        <v>310</v>
      </c>
      <c r="AS353" s="30">
        <v>12586</v>
      </c>
      <c r="AT353" s="30">
        <v>9280</v>
      </c>
      <c r="AU353" s="30">
        <v>21866</v>
      </c>
      <c r="AV353" s="197">
        <v>12586</v>
      </c>
      <c r="AW353" s="197">
        <v>9280</v>
      </c>
      <c r="AX353" s="197">
        <v>21866</v>
      </c>
      <c r="AY353" s="203"/>
      <c r="AZ353" s="203"/>
      <c r="BA353" s="203">
        <v>0</v>
      </c>
      <c r="BB353" s="191" t="s">
        <v>641</v>
      </c>
      <c r="BC353" s="191"/>
      <c r="BD353" s="190">
        <v>3</v>
      </c>
      <c r="BE353" s="40"/>
      <c r="BF353" s="187"/>
      <c r="BG353" s="183"/>
      <c r="BH353" s="183"/>
    </row>
    <row r="354" spans="1:60" ht="30" hidden="1" customHeight="1">
      <c r="A354" s="168" t="s">
        <v>135</v>
      </c>
      <c r="B354" s="119" t="s">
        <v>1756</v>
      </c>
      <c r="C354" s="119" t="s">
        <v>442</v>
      </c>
      <c r="D354" s="119"/>
      <c r="E354" s="118" t="s">
        <v>107</v>
      </c>
      <c r="F354" s="118" t="s">
        <v>108</v>
      </c>
      <c r="G354" s="119" t="s">
        <v>186</v>
      </c>
      <c r="H354" s="119"/>
      <c r="I354" s="118"/>
      <c r="J354" s="41" t="s">
        <v>178</v>
      </c>
      <c r="K354" s="41">
        <v>1</v>
      </c>
      <c r="L354" s="41" t="s">
        <v>178</v>
      </c>
      <c r="M354" s="41">
        <v>1</v>
      </c>
      <c r="N354" s="39"/>
      <c r="O354" s="39"/>
      <c r="P354" s="5" t="s">
        <v>179</v>
      </c>
      <c r="Q354" s="41"/>
      <c r="R354" s="5" t="s">
        <v>112</v>
      </c>
      <c r="S354" s="41">
        <v>4</v>
      </c>
      <c r="T354" s="41" t="s">
        <v>630</v>
      </c>
      <c r="U354" s="41"/>
      <c r="V354" s="41"/>
      <c r="W354" s="174"/>
      <c r="X354" s="174"/>
      <c r="Y354" s="41"/>
      <c r="Z354" s="42" t="s">
        <v>141</v>
      </c>
      <c r="AA354" s="37" t="s">
        <v>640</v>
      </c>
      <c r="AB354" s="42" t="s">
        <v>118</v>
      </c>
      <c r="AC354" s="42" t="s">
        <v>119</v>
      </c>
      <c r="AD354" s="51"/>
      <c r="AE354" s="51"/>
      <c r="AF354" s="38">
        <f t="shared" si="9"/>
        <v>76</v>
      </c>
      <c r="AG354" s="39">
        <v>80</v>
      </c>
      <c r="AH354" s="39" t="s">
        <v>633</v>
      </c>
      <c r="AI354" s="39">
        <v>80</v>
      </c>
      <c r="AJ354" s="39" t="s">
        <v>634</v>
      </c>
      <c r="AK354" s="39">
        <v>60</v>
      </c>
      <c r="AL354" s="39" t="s">
        <v>635</v>
      </c>
      <c r="AM354" s="39">
        <v>80</v>
      </c>
      <c r="AN354" s="39" t="s">
        <v>146</v>
      </c>
      <c r="AO354" s="63">
        <v>5.8</v>
      </c>
      <c r="AP354" s="58">
        <v>1600</v>
      </c>
      <c r="AQ354" s="58">
        <v>310</v>
      </c>
      <c r="AR354" s="58">
        <v>310</v>
      </c>
      <c r="AS354" s="30">
        <v>12586</v>
      </c>
      <c r="AT354" s="30">
        <v>9280</v>
      </c>
      <c r="AU354" s="30">
        <v>21866</v>
      </c>
      <c r="AV354" s="197">
        <v>12586</v>
      </c>
      <c r="AW354" s="197">
        <v>9280</v>
      </c>
      <c r="AX354" s="197">
        <v>21866</v>
      </c>
      <c r="AY354" s="203"/>
      <c r="AZ354" s="203"/>
      <c r="BA354" s="203">
        <v>0</v>
      </c>
      <c r="BB354" s="191" t="s">
        <v>641</v>
      </c>
      <c r="BC354" s="191"/>
      <c r="BD354" s="192">
        <v>3</v>
      </c>
      <c r="BE354" s="40"/>
      <c r="BF354" s="187"/>
      <c r="BG354" s="183"/>
      <c r="BH354" s="183"/>
    </row>
    <row r="355" spans="1:60" ht="30" hidden="1" customHeight="1">
      <c r="A355" s="168" t="s">
        <v>290</v>
      </c>
      <c r="B355" s="119" t="s">
        <v>1757</v>
      </c>
      <c r="C355" s="119" t="s">
        <v>1122</v>
      </c>
      <c r="D355" s="119"/>
      <c r="E355" s="118" t="s">
        <v>216</v>
      </c>
      <c r="F355" s="118" t="s">
        <v>217</v>
      </c>
      <c r="G355" s="119" t="s">
        <v>1758</v>
      </c>
      <c r="H355" s="119"/>
      <c r="I355" s="118"/>
      <c r="J355" s="41" t="s">
        <v>178</v>
      </c>
      <c r="K355" s="41">
        <v>2</v>
      </c>
      <c r="L355" s="41" t="s">
        <v>178</v>
      </c>
      <c r="M355" s="41">
        <v>2</v>
      </c>
      <c r="N355" s="39"/>
      <c r="O355" s="39"/>
      <c r="P355" s="5" t="s">
        <v>179</v>
      </c>
      <c r="Q355" s="41"/>
      <c r="R355" s="5" t="s">
        <v>112</v>
      </c>
      <c r="S355" s="41">
        <v>3</v>
      </c>
      <c r="T355" s="41" t="s">
        <v>924</v>
      </c>
      <c r="U355" s="41"/>
      <c r="V355" s="41" t="s">
        <v>115</v>
      </c>
      <c r="W355" s="174"/>
      <c r="X355" s="174"/>
      <c r="Y355" s="41"/>
      <c r="Z355" s="42" t="s">
        <v>306</v>
      </c>
      <c r="AA355" s="42" t="s">
        <v>1759</v>
      </c>
      <c r="AB355" s="42" t="s">
        <v>118</v>
      </c>
      <c r="AC355" s="42" t="s">
        <v>1760</v>
      </c>
      <c r="AD355" s="42"/>
      <c r="AE355" s="42"/>
      <c r="AF355" s="38">
        <f t="shared" ref="AF355:AF378" si="10">AG355*$AG$2+AI355*$AI$2+AK355*$AK$2+AM355*$AM$2</f>
        <v>76</v>
      </c>
      <c r="AG355" s="39">
        <v>100</v>
      </c>
      <c r="AH355" s="39" t="s">
        <v>1761</v>
      </c>
      <c r="AI355" s="39">
        <v>40</v>
      </c>
      <c r="AJ355" s="39" t="s">
        <v>1762</v>
      </c>
      <c r="AK355" s="39">
        <v>80</v>
      </c>
      <c r="AL355" s="39" t="s">
        <v>1763</v>
      </c>
      <c r="AM355" s="39">
        <v>80</v>
      </c>
      <c r="AN355" s="39" t="s">
        <v>1764</v>
      </c>
      <c r="AO355" s="63">
        <v>5.8</v>
      </c>
      <c r="AP355" s="58">
        <v>800</v>
      </c>
      <c r="AQ355" s="58">
        <v>330</v>
      </c>
      <c r="AR355" s="58">
        <v>330</v>
      </c>
      <c r="AS355" s="30">
        <v>19140</v>
      </c>
      <c r="AT355" s="30">
        <v>9280</v>
      </c>
      <c r="AU355" s="30">
        <v>28420</v>
      </c>
      <c r="AV355" s="197">
        <v>19140</v>
      </c>
      <c r="AW355" s="197">
        <v>9280</v>
      </c>
      <c r="AX355" s="197">
        <v>28420</v>
      </c>
      <c r="AY355" s="203"/>
      <c r="AZ355" s="203"/>
      <c r="BA355" s="203">
        <v>0</v>
      </c>
      <c r="BB355" s="191" t="s">
        <v>1765</v>
      </c>
      <c r="BC355" s="191"/>
      <c r="BD355" s="189">
        <v>2</v>
      </c>
      <c r="BE355" s="40" t="s">
        <v>1766</v>
      </c>
      <c r="BF355" s="187"/>
      <c r="BG355" s="183"/>
      <c r="BH355" s="183"/>
    </row>
    <row r="356" spans="1:60" ht="30" hidden="1" customHeight="1">
      <c r="A356" s="168" t="s">
        <v>122</v>
      </c>
      <c r="B356" s="119" t="s">
        <v>1349</v>
      </c>
      <c r="C356" s="119" t="s">
        <v>1350</v>
      </c>
      <c r="D356" s="119"/>
      <c r="E356" s="118" t="s">
        <v>216</v>
      </c>
      <c r="F356" s="118" t="s">
        <v>340</v>
      </c>
      <c r="G356" s="119" t="s">
        <v>692</v>
      </c>
      <c r="H356" s="119"/>
      <c r="I356" s="118"/>
      <c r="J356" s="41" t="s">
        <v>110</v>
      </c>
      <c r="K356" s="41">
        <v>2</v>
      </c>
      <c r="L356" s="41" t="s">
        <v>178</v>
      </c>
      <c r="M356" s="41">
        <v>1</v>
      </c>
      <c r="N356" s="39"/>
      <c r="O356" s="39"/>
      <c r="P356" s="5" t="s">
        <v>179</v>
      </c>
      <c r="Q356" s="41"/>
      <c r="R356" s="5" t="s">
        <v>112</v>
      </c>
      <c r="S356" s="41">
        <v>5</v>
      </c>
      <c r="T356" s="41" t="s">
        <v>218</v>
      </c>
      <c r="U356" s="41" t="s">
        <v>219</v>
      </c>
      <c r="V356" s="41"/>
      <c r="W356" s="174"/>
      <c r="X356" s="174"/>
      <c r="Y356" s="41"/>
      <c r="Z356" s="42" t="s">
        <v>1628</v>
      </c>
      <c r="AA356" s="42" t="s">
        <v>693</v>
      </c>
      <c r="AB356" s="42" t="s">
        <v>118</v>
      </c>
      <c r="AC356" s="42"/>
      <c r="AD356" s="42"/>
      <c r="AE356" s="42"/>
      <c r="AF356" s="38">
        <f t="shared" si="10"/>
        <v>72</v>
      </c>
      <c r="AG356" s="7">
        <v>80</v>
      </c>
      <c r="AH356" s="7"/>
      <c r="AI356" s="7">
        <v>80</v>
      </c>
      <c r="AJ356" s="7"/>
      <c r="AK356" s="7">
        <v>40</v>
      </c>
      <c r="AL356" s="7"/>
      <c r="AM356" s="7">
        <v>80</v>
      </c>
      <c r="AN356" s="7"/>
      <c r="AO356" s="63">
        <v>5.8</v>
      </c>
      <c r="AP356" s="58">
        <v>1600</v>
      </c>
      <c r="AQ356" s="58">
        <f>AVERAGE(330,320)</f>
        <v>325</v>
      </c>
      <c r="AR356" s="58">
        <v>320</v>
      </c>
      <c r="AS356" s="30">
        <v>30160</v>
      </c>
      <c r="AT356" s="30">
        <v>18560</v>
      </c>
      <c r="AU356" s="30">
        <v>48720</v>
      </c>
      <c r="AV356" s="197">
        <v>14848</v>
      </c>
      <c r="AW356" s="197">
        <v>9280</v>
      </c>
      <c r="AX356" s="197">
        <v>24128</v>
      </c>
      <c r="AY356" s="203"/>
      <c r="AZ356" s="203"/>
      <c r="BA356" s="203">
        <v>0</v>
      </c>
      <c r="BB356" s="191" t="s">
        <v>694</v>
      </c>
      <c r="BC356" s="191"/>
      <c r="BD356" s="41">
        <v>3</v>
      </c>
      <c r="BE356" s="40" t="s">
        <v>695</v>
      </c>
      <c r="BF356" s="187"/>
      <c r="BG356" s="183"/>
      <c r="BH356" s="183"/>
    </row>
    <row r="357" spans="1:60" ht="30" hidden="1" customHeight="1">
      <c r="A357" s="168" t="s">
        <v>1621</v>
      </c>
      <c r="B357" s="119" t="s">
        <v>1767</v>
      </c>
      <c r="C357" s="119">
        <v>2025</v>
      </c>
      <c r="D357" s="119"/>
      <c r="E357" s="118" t="s">
        <v>176</v>
      </c>
      <c r="F357" s="118" t="s">
        <v>152</v>
      </c>
      <c r="G357" s="119"/>
      <c r="H357" s="119"/>
      <c r="I357" s="118"/>
      <c r="J357" s="41" t="s">
        <v>110</v>
      </c>
      <c r="K357" s="41">
        <v>1</v>
      </c>
      <c r="L357" s="41" t="s">
        <v>178</v>
      </c>
      <c r="M357" s="41">
        <v>1</v>
      </c>
      <c r="N357" s="39"/>
      <c r="O357" s="39"/>
      <c r="P357" s="5" t="s">
        <v>179</v>
      </c>
      <c r="Q357" s="41"/>
      <c r="R357" s="5" t="s">
        <v>112</v>
      </c>
      <c r="S357" s="41">
        <v>5</v>
      </c>
      <c r="T357" s="41" t="s">
        <v>139</v>
      </c>
      <c r="U357" s="41"/>
      <c r="V357" s="41"/>
      <c r="W357" s="174"/>
      <c r="X357" s="174"/>
      <c r="Y357" s="41"/>
      <c r="Z357" s="42" t="s">
        <v>141</v>
      </c>
      <c r="AA357" s="42" t="s">
        <v>1768</v>
      </c>
      <c r="AB357" s="42" t="s">
        <v>517</v>
      </c>
      <c r="AC357" s="42"/>
      <c r="AD357" s="42"/>
      <c r="AE357" s="42"/>
      <c r="AF357" s="38">
        <f t="shared" si="10"/>
        <v>72</v>
      </c>
      <c r="AG357" s="39">
        <v>60</v>
      </c>
      <c r="AH357" s="39"/>
      <c r="AI357" s="39">
        <v>80</v>
      </c>
      <c r="AJ357" s="39"/>
      <c r="AK357" s="39">
        <v>80</v>
      </c>
      <c r="AL357" s="39" t="s">
        <v>192</v>
      </c>
      <c r="AM357" s="39">
        <v>80</v>
      </c>
      <c r="AN357" s="39"/>
      <c r="AO357" s="63">
        <v>5.8</v>
      </c>
      <c r="AP357" s="60">
        <v>1600</v>
      </c>
      <c r="AQ357" s="58">
        <v>390</v>
      </c>
      <c r="AR357" s="60">
        <v>390</v>
      </c>
      <c r="AS357" s="30">
        <v>18096</v>
      </c>
      <c r="AT357" s="30">
        <v>9280</v>
      </c>
      <c r="AU357" s="30">
        <v>27376</v>
      </c>
      <c r="AV357" s="197">
        <v>18096</v>
      </c>
      <c r="AW357" s="197">
        <v>9280</v>
      </c>
      <c r="AX357" s="197">
        <v>27376</v>
      </c>
      <c r="AY357" s="203"/>
      <c r="AZ357" s="203"/>
      <c r="BA357" s="203">
        <v>0</v>
      </c>
      <c r="BB357" s="191" t="s">
        <v>1769</v>
      </c>
      <c r="BC357" s="191"/>
      <c r="BD357" s="189">
        <v>3</v>
      </c>
      <c r="BE357" s="40" t="s">
        <v>182</v>
      </c>
      <c r="BF357" s="187"/>
      <c r="BG357" s="183"/>
      <c r="BH357" s="183"/>
    </row>
    <row r="358" spans="1:60" ht="30" hidden="1" customHeight="1">
      <c r="A358" s="168" t="s">
        <v>192</v>
      </c>
      <c r="B358" s="119" t="s">
        <v>1770</v>
      </c>
      <c r="C358" s="119" t="s">
        <v>1771</v>
      </c>
      <c r="D358" s="119"/>
      <c r="E358" s="118" t="s">
        <v>434</v>
      </c>
      <c r="F358" s="118" t="s">
        <v>166</v>
      </c>
      <c r="G358" s="119" t="s">
        <v>1772</v>
      </c>
      <c r="H358" s="119"/>
      <c r="I358" s="118"/>
      <c r="J358" s="41" t="s">
        <v>110</v>
      </c>
      <c r="K358" s="41">
        <v>3</v>
      </c>
      <c r="L358" s="41" t="s">
        <v>178</v>
      </c>
      <c r="M358" s="41">
        <v>2</v>
      </c>
      <c r="N358" s="39"/>
      <c r="O358" s="39"/>
      <c r="P358" s="5" t="s">
        <v>179</v>
      </c>
      <c r="Q358" s="41"/>
      <c r="R358" s="5" t="s">
        <v>112</v>
      </c>
      <c r="S358" s="41">
        <v>5</v>
      </c>
      <c r="T358" s="41" t="s">
        <v>801</v>
      </c>
      <c r="U358" s="41"/>
      <c r="V358" s="41"/>
      <c r="W358" s="174"/>
      <c r="X358" s="174"/>
      <c r="Y358" s="41"/>
      <c r="Z358" s="42" t="s">
        <v>141</v>
      </c>
      <c r="AA358" s="37" t="s">
        <v>1773</v>
      </c>
      <c r="AB358" s="42" t="s">
        <v>517</v>
      </c>
      <c r="AC358" s="42" t="s">
        <v>562</v>
      </c>
      <c r="AD358" s="51"/>
      <c r="AE358" s="51"/>
      <c r="AF358" s="38">
        <f t="shared" si="10"/>
        <v>72</v>
      </c>
      <c r="AG358" s="39">
        <v>60</v>
      </c>
      <c r="AH358" s="39"/>
      <c r="AI358" s="39">
        <v>80</v>
      </c>
      <c r="AJ358" s="39"/>
      <c r="AK358" s="39">
        <v>80</v>
      </c>
      <c r="AL358" s="39"/>
      <c r="AM358" s="39">
        <v>80</v>
      </c>
      <c r="AN358" s="39" t="s">
        <v>1774</v>
      </c>
      <c r="AO358" s="63">
        <v>5.8</v>
      </c>
      <c r="AP358" s="58">
        <v>1600</v>
      </c>
      <c r="AQ358" s="58">
        <f>AVERAGE(420,390,390)</f>
        <v>400</v>
      </c>
      <c r="AR358" s="58">
        <f>AVERAGE(420,390,390)</f>
        <v>400</v>
      </c>
      <c r="AS358" s="30">
        <v>55680</v>
      </c>
      <c r="AT358" s="30">
        <v>27840</v>
      </c>
      <c r="AU358" s="30">
        <v>83520</v>
      </c>
      <c r="AV358" s="197">
        <v>37120</v>
      </c>
      <c r="AW358" s="197">
        <v>18560</v>
      </c>
      <c r="AX358" s="197">
        <v>55680</v>
      </c>
      <c r="AY358" s="203"/>
      <c r="AZ358" s="203"/>
      <c r="BA358" s="203">
        <v>0</v>
      </c>
      <c r="BB358" s="191" t="s">
        <v>1775</v>
      </c>
      <c r="BC358" s="191"/>
      <c r="BD358" s="190">
        <v>3</v>
      </c>
      <c r="BE358" s="40"/>
      <c r="BF358" s="187"/>
      <c r="BG358" s="183"/>
      <c r="BH358" s="183"/>
    </row>
    <row r="359" spans="1:60" ht="30" hidden="1" customHeight="1">
      <c r="A359" s="168" t="s">
        <v>122</v>
      </c>
      <c r="B359" s="119" t="s">
        <v>785</v>
      </c>
      <c r="C359" s="119" t="s">
        <v>786</v>
      </c>
      <c r="D359" s="150" t="s">
        <v>787</v>
      </c>
      <c r="E359" s="118" t="s">
        <v>176</v>
      </c>
      <c r="F359" s="118" t="s">
        <v>152</v>
      </c>
      <c r="G359" s="119" t="s">
        <v>177</v>
      </c>
      <c r="H359" s="119"/>
      <c r="I359" s="118" t="s">
        <v>341</v>
      </c>
      <c r="J359" s="41" t="s">
        <v>110</v>
      </c>
      <c r="K359" s="41">
        <v>1</v>
      </c>
      <c r="L359" s="41" t="s">
        <v>178</v>
      </c>
      <c r="M359" s="41">
        <v>1</v>
      </c>
      <c r="N359" s="39" t="s">
        <v>115</v>
      </c>
      <c r="O359" s="39">
        <v>1</v>
      </c>
      <c r="P359" s="5" t="s">
        <v>179</v>
      </c>
      <c r="Q359" s="41"/>
      <c r="R359" s="41" t="s">
        <v>112</v>
      </c>
      <c r="S359" s="41">
        <v>3</v>
      </c>
      <c r="T359" s="41" t="s">
        <v>789</v>
      </c>
      <c r="U359" s="41" t="s">
        <v>790</v>
      </c>
      <c r="V359" s="174"/>
      <c r="W359" s="174">
        <v>45832</v>
      </c>
      <c r="X359" s="174">
        <v>45834</v>
      </c>
      <c r="Y359" s="41"/>
      <c r="Z359" s="42" t="s">
        <v>116</v>
      </c>
      <c r="AA359" s="42" t="s">
        <v>180</v>
      </c>
      <c r="AB359" s="42" t="s">
        <v>118</v>
      </c>
      <c r="AC359" s="42" t="s">
        <v>683</v>
      </c>
      <c r="AD359" s="42"/>
      <c r="AE359" s="42"/>
      <c r="AF359" s="38">
        <f t="shared" si="10"/>
        <v>72</v>
      </c>
      <c r="AG359" s="7">
        <v>80</v>
      </c>
      <c r="AH359" s="7"/>
      <c r="AI359" s="7">
        <v>80</v>
      </c>
      <c r="AJ359" s="7"/>
      <c r="AK359" s="7">
        <v>40</v>
      </c>
      <c r="AL359" s="7"/>
      <c r="AM359" s="7">
        <v>80</v>
      </c>
      <c r="AN359" s="7"/>
      <c r="AO359" s="63">
        <v>5.8</v>
      </c>
      <c r="AP359" s="58">
        <v>1600</v>
      </c>
      <c r="AQ359" s="58">
        <v>260</v>
      </c>
      <c r="AR359" s="58">
        <v>260</v>
      </c>
      <c r="AS359" s="30">
        <v>9048</v>
      </c>
      <c r="AT359" s="30">
        <v>9280</v>
      </c>
      <c r="AU359" s="30">
        <v>18328</v>
      </c>
      <c r="AV359" s="197">
        <v>9048</v>
      </c>
      <c r="AW359" s="197">
        <v>9280</v>
      </c>
      <c r="AX359" s="197">
        <v>18328</v>
      </c>
      <c r="AY359" s="203">
        <v>7254.61</v>
      </c>
      <c r="AZ359" s="203"/>
      <c r="BA359" s="203">
        <v>7254.61</v>
      </c>
      <c r="BB359" s="191" t="s">
        <v>1776</v>
      </c>
      <c r="BC359" s="191" t="s">
        <v>791</v>
      </c>
      <c r="BD359" s="41">
        <v>3</v>
      </c>
      <c r="BE359" s="40" t="s">
        <v>182</v>
      </c>
      <c r="BF359" s="187"/>
      <c r="BG359" s="183"/>
      <c r="BH359" s="183"/>
    </row>
    <row r="360" spans="1:60" ht="30" hidden="1" customHeight="1">
      <c r="A360" s="168" t="s">
        <v>183</v>
      </c>
      <c r="B360" s="119" t="s">
        <v>1777</v>
      </c>
      <c r="C360" s="119" t="s">
        <v>1778</v>
      </c>
      <c r="D360" s="119"/>
      <c r="E360" s="118" t="s">
        <v>107</v>
      </c>
      <c r="F360" s="117" t="s">
        <v>108</v>
      </c>
      <c r="G360" s="119"/>
      <c r="H360" s="119"/>
      <c r="I360" s="118"/>
      <c r="J360" s="41" t="s">
        <v>178</v>
      </c>
      <c r="K360" s="41">
        <v>1</v>
      </c>
      <c r="L360" s="41" t="s">
        <v>178</v>
      </c>
      <c r="M360" s="41">
        <v>1</v>
      </c>
      <c r="N360" s="39"/>
      <c r="O360" s="39"/>
      <c r="P360" s="5" t="s">
        <v>179</v>
      </c>
      <c r="Q360" s="41"/>
      <c r="R360" s="5" t="s">
        <v>112</v>
      </c>
      <c r="S360" s="41">
        <v>3</v>
      </c>
      <c r="T360" s="41" t="s">
        <v>139</v>
      </c>
      <c r="U360" s="41"/>
      <c r="V360" s="41"/>
      <c r="W360" s="174"/>
      <c r="X360" s="174"/>
      <c r="Y360" s="41"/>
      <c r="Z360" s="42" t="s">
        <v>141</v>
      </c>
      <c r="AA360" s="42" t="s">
        <v>188</v>
      </c>
      <c r="AB360" s="42" t="s">
        <v>118</v>
      </c>
      <c r="AC360" s="42" t="s">
        <v>119</v>
      </c>
      <c r="AD360" s="42"/>
      <c r="AE360" s="42"/>
      <c r="AF360" s="38">
        <f t="shared" si="10"/>
        <v>72</v>
      </c>
      <c r="AG360" s="7">
        <v>80</v>
      </c>
      <c r="AH360" s="7"/>
      <c r="AI360" s="7">
        <v>80</v>
      </c>
      <c r="AJ360" s="7" t="s">
        <v>189</v>
      </c>
      <c r="AK360" s="7">
        <v>40</v>
      </c>
      <c r="AL360" s="7"/>
      <c r="AM360" s="7">
        <v>80</v>
      </c>
      <c r="AN360" s="7"/>
      <c r="AO360" s="63">
        <v>5.8</v>
      </c>
      <c r="AP360" s="58">
        <v>1600</v>
      </c>
      <c r="AQ360" s="58">
        <v>420</v>
      </c>
      <c r="AR360" s="58">
        <v>420</v>
      </c>
      <c r="AS360" s="30">
        <v>14616</v>
      </c>
      <c r="AT360" s="30">
        <v>9280</v>
      </c>
      <c r="AU360" s="30">
        <v>23896</v>
      </c>
      <c r="AV360" s="197">
        <v>14616</v>
      </c>
      <c r="AW360" s="197">
        <v>9280</v>
      </c>
      <c r="AX360" s="197">
        <v>23896</v>
      </c>
      <c r="AY360" s="203"/>
      <c r="AZ360" s="203"/>
      <c r="BA360" s="203">
        <v>0</v>
      </c>
      <c r="BB360" s="191" t="s">
        <v>190</v>
      </c>
      <c r="BC360" s="191"/>
      <c r="BD360" s="190">
        <v>3</v>
      </c>
      <c r="BE360" s="40" t="s">
        <v>803</v>
      </c>
      <c r="BF360" s="187"/>
      <c r="BG360" s="183"/>
      <c r="BH360" s="183"/>
    </row>
    <row r="361" spans="1:60" ht="30" hidden="1" customHeight="1">
      <c r="A361" s="168" t="s">
        <v>421</v>
      </c>
      <c r="B361" s="119" t="s">
        <v>1779</v>
      </c>
      <c r="C361" s="119" t="s">
        <v>1115</v>
      </c>
      <c r="D361" s="119" t="s">
        <v>1780</v>
      </c>
      <c r="E361" s="118" t="s">
        <v>107</v>
      </c>
      <c r="F361" s="117" t="s">
        <v>108</v>
      </c>
      <c r="G361" s="119" t="s">
        <v>1781</v>
      </c>
      <c r="H361" s="119"/>
      <c r="I361" s="118" t="s">
        <v>341</v>
      </c>
      <c r="J361" s="41" t="s">
        <v>178</v>
      </c>
      <c r="K361" s="41">
        <v>1</v>
      </c>
      <c r="L361" s="41" t="s">
        <v>110</v>
      </c>
      <c r="M361" s="41">
        <v>1</v>
      </c>
      <c r="N361" s="39" t="s">
        <v>115</v>
      </c>
      <c r="O361" s="39">
        <v>1</v>
      </c>
      <c r="P361" s="5" t="s">
        <v>179</v>
      </c>
      <c r="Q361" s="41">
        <v>1</v>
      </c>
      <c r="R361" s="5" t="s">
        <v>112</v>
      </c>
      <c r="S361" s="41">
        <v>5</v>
      </c>
      <c r="T361" s="5" t="s">
        <v>218</v>
      </c>
      <c r="U361" s="41" t="s">
        <v>1782</v>
      </c>
      <c r="V361" s="41"/>
      <c r="W361" s="174">
        <v>45822</v>
      </c>
      <c r="X361" s="174">
        <v>45830</v>
      </c>
      <c r="Y361" s="41"/>
      <c r="Z361" s="42" t="s">
        <v>116</v>
      </c>
      <c r="AA361" s="37" t="s">
        <v>445</v>
      </c>
      <c r="AB361" s="42" t="s">
        <v>118</v>
      </c>
      <c r="AC361" s="42" t="s">
        <v>446</v>
      </c>
      <c r="AD361" s="51"/>
      <c r="AE361" s="51"/>
      <c r="AF361" s="38">
        <f t="shared" si="10"/>
        <v>72</v>
      </c>
      <c r="AG361" s="39">
        <v>80</v>
      </c>
      <c r="AH361" s="39"/>
      <c r="AI361" s="39">
        <v>80</v>
      </c>
      <c r="AJ361" s="39"/>
      <c r="AK361" s="39">
        <v>40</v>
      </c>
      <c r="AL361" s="39"/>
      <c r="AM361" s="39">
        <v>80</v>
      </c>
      <c r="AN361" s="39"/>
      <c r="AO361" s="63">
        <v>5.8</v>
      </c>
      <c r="AP361" s="58">
        <v>1600</v>
      </c>
      <c r="AQ361" s="58">
        <v>390</v>
      </c>
      <c r="AR361" s="58">
        <v>390</v>
      </c>
      <c r="AS361" s="30">
        <v>18096</v>
      </c>
      <c r="AT361" s="30">
        <v>9280</v>
      </c>
      <c r="AU361" s="30">
        <v>27376</v>
      </c>
      <c r="AV361" s="197">
        <v>18096</v>
      </c>
      <c r="AW361" s="197">
        <v>9280</v>
      </c>
      <c r="AX361" s="197">
        <v>27376</v>
      </c>
      <c r="AY361" s="203">
        <v>14418.64</v>
      </c>
      <c r="AZ361" s="203"/>
      <c r="BA361" s="203">
        <v>14418.64</v>
      </c>
      <c r="BB361" s="191" t="s">
        <v>492</v>
      </c>
      <c r="BC361" s="191" t="s">
        <v>1783</v>
      </c>
      <c r="BD361" s="190">
        <v>3</v>
      </c>
      <c r="BE361" s="40"/>
      <c r="BF361" s="187"/>
      <c r="BG361" s="183"/>
      <c r="BH361" s="183"/>
    </row>
    <row r="362" spans="1:60" ht="30" hidden="1" customHeight="1">
      <c r="A362" s="168" t="s">
        <v>122</v>
      </c>
      <c r="B362" s="119" t="s">
        <v>1784</v>
      </c>
      <c r="C362" s="119" t="s">
        <v>1785</v>
      </c>
      <c r="D362" s="119"/>
      <c r="E362" s="118" t="s">
        <v>216</v>
      </c>
      <c r="F362" s="117" t="s">
        <v>217</v>
      </c>
      <c r="G362" s="119" t="s">
        <v>1786</v>
      </c>
      <c r="H362" s="119"/>
      <c r="I362" s="118"/>
      <c r="J362" s="41" t="s">
        <v>110</v>
      </c>
      <c r="K362" s="41">
        <v>2</v>
      </c>
      <c r="L362" s="41" t="s">
        <v>178</v>
      </c>
      <c r="M362" s="41">
        <v>2</v>
      </c>
      <c r="N362" s="39"/>
      <c r="O362" s="39"/>
      <c r="P362" s="5" t="s">
        <v>179</v>
      </c>
      <c r="Q362" s="41"/>
      <c r="R362" s="5" t="s">
        <v>112</v>
      </c>
      <c r="S362" s="41">
        <v>5</v>
      </c>
      <c r="T362" s="41" t="s">
        <v>801</v>
      </c>
      <c r="U362" s="41"/>
      <c r="V362" s="41"/>
      <c r="W362" s="174"/>
      <c r="X362" s="174"/>
      <c r="Y362" s="41"/>
      <c r="Z362" s="42" t="s">
        <v>220</v>
      </c>
      <c r="AA362" s="42" t="s">
        <v>221</v>
      </c>
      <c r="AB362" s="42" t="s">
        <v>118</v>
      </c>
      <c r="AC362" s="42" t="s">
        <v>222</v>
      </c>
      <c r="AD362" s="42"/>
      <c r="AE362" s="42"/>
      <c r="AF362" s="38">
        <f t="shared" si="10"/>
        <v>72</v>
      </c>
      <c r="AG362" s="7">
        <v>80</v>
      </c>
      <c r="AH362" s="7"/>
      <c r="AI362" s="7">
        <v>80</v>
      </c>
      <c r="AJ362" s="7" t="s">
        <v>223</v>
      </c>
      <c r="AK362" s="7">
        <v>40</v>
      </c>
      <c r="AL362" s="7"/>
      <c r="AM362" s="7">
        <v>80</v>
      </c>
      <c r="AN362" s="7"/>
      <c r="AO362" s="63">
        <v>5.8</v>
      </c>
      <c r="AP362" s="58">
        <v>1600</v>
      </c>
      <c r="AQ362" s="58">
        <v>390</v>
      </c>
      <c r="AR362" s="58">
        <v>390</v>
      </c>
      <c r="AS362" s="30">
        <v>36192</v>
      </c>
      <c r="AT362" s="30">
        <v>18560</v>
      </c>
      <c r="AU362" s="30">
        <v>54752</v>
      </c>
      <c r="AV362" s="197">
        <v>36192</v>
      </c>
      <c r="AW362" s="197">
        <v>18560</v>
      </c>
      <c r="AX362" s="197">
        <v>54752</v>
      </c>
      <c r="AY362" s="203"/>
      <c r="AZ362" s="203"/>
      <c r="BA362" s="203">
        <v>0</v>
      </c>
      <c r="BB362" s="191" t="s">
        <v>1787</v>
      </c>
      <c r="BC362" s="191"/>
      <c r="BD362" s="189">
        <v>3</v>
      </c>
      <c r="BE362" s="40" t="s">
        <v>226</v>
      </c>
      <c r="BF362" s="187"/>
      <c r="BG362" s="183"/>
      <c r="BH362" s="183"/>
    </row>
    <row r="363" spans="1:60" ht="30" hidden="1" customHeight="1">
      <c r="A363" s="168" t="s">
        <v>239</v>
      </c>
      <c r="B363" s="119" t="s">
        <v>1788</v>
      </c>
      <c r="C363" s="119" t="s">
        <v>442</v>
      </c>
      <c r="D363" s="119"/>
      <c r="E363" s="118" t="s">
        <v>107</v>
      </c>
      <c r="F363" s="117" t="s">
        <v>108</v>
      </c>
      <c r="G363" s="119"/>
      <c r="H363" s="119"/>
      <c r="I363" s="118"/>
      <c r="J363" s="41" t="s">
        <v>178</v>
      </c>
      <c r="K363" s="41">
        <v>1</v>
      </c>
      <c r="L363" s="41" t="s">
        <v>178</v>
      </c>
      <c r="M363" s="41">
        <v>1</v>
      </c>
      <c r="N363" s="39"/>
      <c r="O363" s="39"/>
      <c r="P363" s="5" t="s">
        <v>179</v>
      </c>
      <c r="Q363" s="41"/>
      <c r="R363" s="5" t="s">
        <v>112</v>
      </c>
      <c r="S363" s="41">
        <v>4</v>
      </c>
      <c r="T363" s="41" t="s">
        <v>801</v>
      </c>
      <c r="U363" s="41"/>
      <c r="V363" s="41"/>
      <c r="W363" s="174"/>
      <c r="X363" s="174"/>
      <c r="Y363" s="41"/>
      <c r="Z363" s="42" t="s">
        <v>141</v>
      </c>
      <c r="AA363" s="37" t="s">
        <v>1789</v>
      </c>
      <c r="AB363" s="42" t="s">
        <v>118</v>
      </c>
      <c r="AC363" s="42" t="s">
        <v>700</v>
      </c>
      <c r="AD363" s="51"/>
      <c r="AE363" s="51"/>
      <c r="AF363" s="38">
        <f t="shared" si="10"/>
        <v>72</v>
      </c>
      <c r="AG363" s="7">
        <v>60</v>
      </c>
      <c r="AH363" s="7"/>
      <c r="AI363" s="7">
        <v>80</v>
      </c>
      <c r="AJ363" s="7" t="s">
        <v>1790</v>
      </c>
      <c r="AK363" s="7">
        <v>80</v>
      </c>
      <c r="AL363" s="7"/>
      <c r="AM363" s="7">
        <v>80</v>
      </c>
      <c r="AN363" s="7"/>
      <c r="AO363" s="63">
        <v>5.8</v>
      </c>
      <c r="AP363" s="58">
        <v>1600</v>
      </c>
      <c r="AQ363" s="58">
        <v>420</v>
      </c>
      <c r="AR363" s="58">
        <v>420</v>
      </c>
      <c r="AS363" s="30">
        <v>17052</v>
      </c>
      <c r="AT363" s="30">
        <v>9280</v>
      </c>
      <c r="AU363" s="30">
        <v>26332</v>
      </c>
      <c r="AV363" s="197">
        <v>17052</v>
      </c>
      <c r="AW363" s="197">
        <v>9280</v>
      </c>
      <c r="AX363" s="197">
        <v>26332</v>
      </c>
      <c r="AY363" s="203"/>
      <c r="AZ363" s="203"/>
      <c r="BA363" s="203">
        <v>0</v>
      </c>
      <c r="BB363" s="191" t="s">
        <v>1279</v>
      </c>
      <c r="BC363" s="191"/>
      <c r="BD363" s="190">
        <v>3</v>
      </c>
      <c r="BE363" s="40"/>
      <c r="BF363" s="187"/>
      <c r="BG363" s="183"/>
      <c r="BH363" s="183"/>
    </row>
    <row r="364" spans="1:60" ht="30" hidden="1" customHeight="1">
      <c r="A364" s="168" t="s">
        <v>239</v>
      </c>
      <c r="B364" s="119" t="s">
        <v>1791</v>
      </c>
      <c r="C364" s="119" t="s">
        <v>1115</v>
      </c>
      <c r="D364" s="119"/>
      <c r="E364" s="118" t="s">
        <v>107</v>
      </c>
      <c r="F364" s="118" t="s">
        <v>108</v>
      </c>
      <c r="G364" s="119"/>
      <c r="H364" s="119"/>
      <c r="I364" s="118"/>
      <c r="J364" s="41" t="s">
        <v>178</v>
      </c>
      <c r="K364" s="41">
        <v>1</v>
      </c>
      <c r="L364" s="41" t="s">
        <v>178</v>
      </c>
      <c r="M364" s="41">
        <v>1</v>
      </c>
      <c r="N364" s="39"/>
      <c r="O364" s="39"/>
      <c r="P364" s="5" t="s">
        <v>179</v>
      </c>
      <c r="Q364" s="41"/>
      <c r="R364" s="5" t="s">
        <v>112</v>
      </c>
      <c r="S364" s="41">
        <v>4</v>
      </c>
      <c r="T364" s="41" t="s">
        <v>801</v>
      </c>
      <c r="U364" s="41"/>
      <c r="V364" s="41"/>
      <c r="W364" s="174"/>
      <c r="X364" s="174"/>
      <c r="Y364" s="41"/>
      <c r="Z364" s="42" t="s">
        <v>141</v>
      </c>
      <c r="AA364" s="37" t="s">
        <v>1789</v>
      </c>
      <c r="AB364" s="42" t="s">
        <v>118</v>
      </c>
      <c r="AC364" s="42" t="s">
        <v>700</v>
      </c>
      <c r="AD364" s="51"/>
      <c r="AE364" s="51"/>
      <c r="AF364" s="38">
        <f t="shared" si="10"/>
        <v>72</v>
      </c>
      <c r="AG364" s="39">
        <v>60</v>
      </c>
      <c r="AH364" s="39"/>
      <c r="AI364" s="39">
        <v>80</v>
      </c>
      <c r="AJ364" s="39" t="s">
        <v>1790</v>
      </c>
      <c r="AK364" s="39">
        <v>80</v>
      </c>
      <c r="AL364" s="39"/>
      <c r="AM364" s="39">
        <v>80</v>
      </c>
      <c r="AN364" s="39"/>
      <c r="AO364" s="63">
        <v>5.8</v>
      </c>
      <c r="AP364" s="58">
        <v>1600</v>
      </c>
      <c r="AQ364" s="58">
        <v>420</v>
      </c>
      <c r="AR364" s="58">
        <v>420</v>
      </c>
      <c r="AS364" s="30">
        <v>17052</v>
      </c>
      <c r="AT364" s="30">
        <v>9280</v>
      </c>
      <c r="AU364" s="30">
        <v>26332</v>
      </c>
      <c r="AV364" s="197">
        <v>17052</v>
      </c>
      <c r="AW364" s="197">
        <v>9280</v>
      </c>
      <c r="AX364" s="197">
        <v>26332</v>
      </c>
      <c r="AY364" s="203"/>
      <c r="AZ364" s="203"/>
      <c r="BA364" s="203">
        <v>0</v>
      </c>
      <c r="BB364" s="191" t="s">
        <v>1279</v>
      </c>
      <c r="BC364" s="191"/>
      <c r="BD364" s="190">
        <v>3</v>
      </c>
      <c r="BE364" s="40"/>
      <c r="BF364" s="187"/>
      <c r="BG364" s="183"/>
      <c r="BH364" s="183"/>
    </row>
    <row r="365" spans="1:60" ht="30" hidden="1" customHeight="1">
      <c r="A365" s="168" t="s">
        <v>122</v>
      </c>
      <c r="B365" s="119" t="s">
        <v>1792</v>
      </c>
      <c r="C365" s="119" t="s">
        <v>1281</v>
      </c>
      <c r="D365" s="119"/>
      <c r="E365" s="118" t="s">
        <v>107</v>
      </c>
      <c r="F365" s="117" t="s">
        <v>340</v>
      </c>
      <c r="G365" s="116" t="s">
        <v>1793</v>
      </c>
      <c r="H365" s="119"/>
      <c r="I365" s="118"/>
      <c r="J365" s="41" t="s">
        <v>178</v>
      </c>
      <c r="K365" s="41">
        <v>1</v>
      </c>
      <c r="L365" s="41" t="s">
        <v>178</v>
      </c>
      <c r="M365" s="41">
        <v>1</v>
      </c>
      <c r="N365" s="39"/>
      <c r="O365" s="39"/>
      <c r="P365" s="5" t="s">
        <v>179</v>
      </c>
      <c r="Q365" s="41"/>
      <c r="R365" s="5" t="s">
        <v>112</v>
      </c>
      <c r="S365" s="41">
        <v>5</v>
      </c>
      <c r="T365" s="5" t="s">
        <v>218</v>
      </c>
      <c r="U365" s="41"/>
      <c r="V365" s="41"/>
      <c r="W365" s="174"/>
      <c r="X365" s="174"/>
      <c r="Y365" s="41"/>
      <c r="Z365" s="42" t="s">
        <v>116</v>
      </c>
      <c r="AA365" s="37" t="s">
        <v>1794</v>
      </c>
      <c r="AB365" s="42" t="s">
        <v>118</v>
      </c>
      <c r="AC365" s="42" t="s">
        <v>446</v>
      </c>
      <c r="AD365" s="51"/>
      <c r="AE365" s="51"/>
      <c r="AF365" s="38">
        <f t="shared" si="10"/>
        <v>72</v>
      </c>
      <c r="AG365" s="39">
        <v>80</v>
      </c>
      <c r="AH365" s="39"/>
      <c r="AI365" s="39">
        <v>80</v>
      </c>
      <c r="AJ365" s="39"/>
      <c r="AK365" s="39">
        <v>40</v>
      </c>
      <c r="AL365" s="39"/>
      <c r="AM365" s="39">
        <v>80</v>
      </c>
      <c r="AN365" s="39"/>
      <c r="AO365" s="63">
        <v>5.8</v>
      </c>
      <c r="AP365" s="58">
        <v>1600</v>
      </c>
      <c r="AQ365" s="58">
        <v>310</v>
      </c>
      <c r="AR365" s="58">
        <v>310</v>
      </c>
      <c r="AS365" s="30">
        <v>14384</v>
      </c>
      <c r="AT365" s="30">
        <v>9280</v>
      </c>
      <c r="AU365" s="30">
        <v>23664</v>
      </c>
      <c r="AV365" s="197">
        <v>14384</v>
      </c>
      <c r="AW365" s="197">
        <v>9280</v>
      </c>
      <c r="AX365" s="197">
        <v>23664</v>
      </c>
      <c r="AY365" s="203"/>
      <c r="AZ365" s="203"/>
      <c r="BA365" s="203">
        <v>0</v>
      </c>
      <c r="BB365" s="191" t="s">
        <v>1795</v>
      </c>
      <c r="BC365" s="191"/>
      <c r="BD365" s="192">
        <v>3</v>
      </c>
      <c r="BE365" s="40"/>
      <c r="BF365" s="187"/>
      <c r="BG365" s="183"/>
      <c r="BH365" s="183"/>
    </row>
    <row r="366" spans="1:60" ht="30" hidden="1" customHeight="1">
      <c r="A366" s="168" t="s">
        <v>228</v>
      </c>
      <c r="B366" s="119" t="s">
        <v>1398</v>
      </c>
      <c r="C366" s="119" t="s">
        <v>1115</v>
      </c>
      <c r="D366" s="119"/>
      <c r="E366" s="118" t="s">
        <v>107</v>
      </c>
      <c r="F366" s="117" t="s">
        <v>108</v>
      </c>
      <c r="G366" s="116"/>
      <c r="H366" s="119"/>
      <c r="I366" s="118"/>
      <c r="J366" s="41" t="s">
        <v>178</v>
      </c>
      <c r="K366" s="41">
        <v>1</v>
      </c>
      <c r="L366" s="41" t="s">
        <v>178</v>
      </c>
      <c r="M366" s="41">
        <v>1</v>
      </c>
      <c r="N366" s="39"/>
      <c r="O366" s="39"/>
      <c r="P366" s="5" t="s">
        <v>179</v>
      </c>
      <c r="Q366" s="41"/>
      <c r="R366" s="5" t="s">
        <v>112</v>
      </c>
      <c r="S366" s="41">
        <v>1</v>
      </c>
      <c r="T366" s="5" t="s">
        <v>801</v>
      </c>
      <c r="U366" s="41"/>
      <c r="V366" s="41"/>
      <c r="W366" s="174"/>
      <c r="X366" s="174"/>
      <c r="Y366" s="41"/>
      <c r="Z366" s="42" t="s">
        <v>141</v>
      </c>
      <c r="AA366" s="42" t="s">
        <v>1399</v>
      </c>
      <c r="AB366" s="42" t="s">
        <v>118</v>
      </c>
      <c r="AC366" s="42" t="s">
        <v>119</v>
      </c>
      <c r="AD366" s="42"/>
      <c r="AE366" s="42"/>
      <c r="AF366" s="38">
        <f t="shared" si="10"/>
        <v>72</v>
      </c>
      <c r="AG366" s="39">
        <v>80</v>
      </c>
      <c r="AH366" s="39"/>
      <c r="AI366" s="39">
        <v>80</v>
      </c>
      <c r="AJ366" s="39" t="s">
        <v>1400</v>
      </c>
      <c r="AK366" s="39">
        <v>40</v>
      </c>
      <c r="AL366" s="39"/>
      <c r="AM366" s="39">
        <v>80</v>
      </c>
      <c r="AN366" s="39"/>
      <c r="AO366" s="63">
        <v>5.8</v>
      </c>
      <c r="AP366" s="58">
        <v>1600</v>
      </c>
      <c r="AQ366" s="58">
        <v>420</v>
      </c>
      <c r="AR366" s="58">
        <v>420</v>
      </c>
      <c r="AS366" s="30">
        <v>9744</v>
      </c>
      <c r="AT366" s="30">
        <v>9280</v>
      </c>
      <c r="AU366" s="30">
        <v>19024</v>
      </c>
      <c r="AV366" s="197">
        <v>9744</v>
      </c>
      <c r="AW366" s="197">
        <v>9280</v>
      </c>
      <c r="AX366" s="197">
        <v>19024</v>
      </c>
      <c r="AY366" s="203"/>
      <c r="AZ366" s="203"/>
      <c r="BA366" s="203">
        <v>0</v>
      </c>
      <c r="BB366" s="191" t="s">
        <v>1401</v>
      </c>
      <c r="BC366" s="191"/>
      <c r="BD366" s="192">
        <v>3</v>
      </c>
      <c r="BE366" s="40" t="s">
        <v>803</v>
      </c>
      <c r="BF366" s="187"/>
      <c r="BG366" s="183"/>
      <c r="BH366" s="183"/>
    </row>
    <row r="367" spans="1:60" ht="30" hidden="1" customHeight="1">
      <c r="A367" s="168" t="s">
        <v>239</v>
      </c>
      <c r="B367" s="119" t="s">
        <v>1796</v>
      </c>
      <c r="C367" s="119" t="s">
        <v>1797</v>
      </c>
      <c r="D367" s="119"/>
      <c r="E367" s="118" t="s">
        <v>107</v>
      </c>
      <c r="F367" s="118" t="s">
        <v>108</v>
      </c>
      <c r="G367" s="119"/>
      <c r="H367" s="119"/>
      <c r="I367" s="118"/>
      <c r="J367" s="41" t="s">
        <v>178</v>
      </c>
      <c r="K367" s="41">
        <v>1</v>
      </c>
      <c r="L367" s="41" t="s">
        <v>178</v>
      </c>
      <c r="M367" s="41">
        <v>1</v>
      </c>
      <c r="N367" s="39"/>
      <c r="O367" s="39"/>
      <c r="P367" s="5" t="s">
        <v>179</v>
      </c>
      <c r="Q367" s="41"/>
      <c r="R367" s="5" t="s">
        <v>112</v>
      </c>
      <c r="S367" s="41">
        <v>4</v>
      </c>
      <c r="T367" s="41" t="s">
        <v>139</v>
      </c>
      <c r="U367" s="41"/>
      <c r="V367" s="41"/>
      <c r="W367" s="174"/>
      <c r="X367" s="174"/>
      <c r="Y367" s="41"/>
      <c r="Z367" s="42" t="s">
        <v>116</v>
      </c>
      <c r="AA367" s="37" t="s">
        <v>1798</v>
      </c>
      <c r="AB367" s="42" t="s">
        <v>118</v>
      </c>
      <c r="AC367" s="42" t="s">
        <v>119</v>
      </c>
      <c r="AD367" s="51"/>
      <c r="AE367" s="51"/>
      <c r="AF367" s="38">
        <f t="shared" si="10"/>
        <v>72</v>
      </c>
      <c r="AG367" s="39">
        <v>80</v>
      </c>
      <c r="AH367" s="39"/>
      <c r="AI367" s="39">
        <v>80</v>
      </c>
      <c r="AJ367" s="39" t="s">
        <v>1400</v>
      </c>
      <c r="AK367" s="39">
        <v>40</v>
      </c>
      <c r="AL367" s="39"/>
      <c r="AM367" s="39">
        <v>80</v>
      </c>
      <c r="AN367" s="39"/>
      <c r="AO367" s="63">
        <v>5.8</v>
      </c>
      <c r="AP367" s="58">
        <v>1600</v>
      </c>
      <c r="AQ367" s="58">
        <v>370</v>
      </c>
      <c r="AR367" s="58">
        <v>370</v>
      </c>
      <c r="AS367" s="30">
        <v>15022</v>
      </c>
      <c r="AT367" s="30">
        <v>9280</v>
      </c>
      <c r="AU367" s="30">
        <v>24302</v>
      </c>
      <c r="AV367" s="197">
        <v>15022</v>
      </c>
      <c r="AW367" s="197">
        <v>9280</v>
      </c>
      <c r="AX367" s="197">
        <v>24302</v>
      </c>
      <c r="AY367" s="203"/>
      <c r="AZ367" s="203"/>
      <c r="BA367" s="203">
        <v>0</v>
      </c>
      <c r="BB367" s="191" t="s">
        <v>1799</v>
      </c>
      <c r="BC367" s="191"/>
      <c r="BD367" s="192">
        <v>3</v>
      </c>
      <c r="BE367" s="40"/>
      <c r="BF367" s="187"/>
      <c r="BG367" s="183"/>
      <c r="BH367" s="183"/>
    </row>
    <row r="368" spans="1:60" ht="30" hidden="1" customHeight="1">
      <c r="A368" s="168" t="s">
        <v>239</v>
      </c>
      <c r="B368" s="119" t="s">
        <v>1796</v>
      </c>
      <c r="C368" s="119" t="s">
        <v>1800</v>
      </c>
      <c r="D368" s="119"/>
      <c r="E368" s="118" t="s">
        <v>107</v>
      </c>
      <c r="F368" s="117" t="s">
        <v>108</v>
      </c>
      <c r="G368" s="119"/>
      <c r="H368" s="119"/>
      <c r="I368" s="118"/>
      <c r="J368" s="41" t="s">
        <v>178</v>
      </c>
      <c r="K368" s="41">
        <v>1</v>
      </c>
      <c r="L368" s="41" t="s">
        <v>178</v>
      </c>
      <c r="M368" s="41">
        <v>1</v>
      </c>
      <c r="N368" s="39"/>
      <c r="O368" s="39"/>
      <c r="P368" s="5" t="s">
        <v>179</v>
      </c>
      <c r="Q368" s="41"/>
      <c r="R368" s="5" t="s">
        <v>112</v>
      </c>
      <c r="S368" s="41">
        <v>4</v>
      </c>
      <c r="T368" s="41" t="s">
        <v>801</v>
      </c>
      <c r="U368" s="41"/>
      <c r="V368" s="41"/>
      <c r="W368" s="174"/>
      <c r="X368" s="174"/>
      <c r="Y368" s="41"/>
      <c r="Z368" s="42" t="s">
        <v>116</v>
      </c>
      <c r="AA368" s="42" t="s">
        <v>1798</v>
      </c>
      <c r="AB368" s="42" t="s">
        <v>118</v>
      </c>
      <c r="AC368" s="42" t="s">
        <v>119</v>
      </c>
      <c r="AD368" s="42"/>
      <c r="AE368" s="42"/>
      <c r="AF368" s="38">
        <f t="shared" si="10"/>
        <v>72</v>
      </c>
      <c r="AG368" s="39">
        <v>80</v>
      </c>
      <c r="AH368" s="39"/>
      <c r="AI368" s="39">
        <v>80</v>
      </c>
      <c r="AJ368" s="39" t="s">
        <v>1400</v>
      </c>
      <c r="AK368" s="39">
        <v>40</v>
      </c>
      <c r="AL368" s="39"/>
      <c r="AM368" s="39">
        <v>80</v>
      </c>
      <c r="AN368" s="39"/>
      <c r="AO368" s="63">
        <v>5.8</v>
      </c>
      <c r="AP368" s="58">
        <v>1600</v>
      </c>
      <c r="AQ368" s="58">
        <v>420</v>
      </c>
      <c r="AR368" s="58">
        <v>420</v>
      </c>
      <c r="AS368" s="30">
        <v>17052</v>
      </c>
      <c r="AT368" s="30">
        <v>9280</v>
      </c>
      <c r="AU368" s="30">
        <v>26332</v>
      </c>
      <c r="AV368" s="197">
        <v>17052</v>
      </c>
      <c r="AW368" s="197">
        <v>9280</v>
      </c>
      <c r="AX368" s="197">
        <v>26332</v>
      </c>
      <c r="AY368" s="203"/>
      <c r="AZ368" s="203"/>
      <c r="BA368" s="203">
        <v>0</v>
      </c>
      <c r="BB368" s="191" t="s">
        <v>1799</v>
      </c>
      <c r="BC368" s="191"/>
      <c r="BD368" s="192">
        <v>3</v>
      </c>
      <c r="BE368" s="40" t="s">
        <v>803</v>
      </c>
      <c r="BF368" s="187"/>
      <c r="BG368" s="183"/>
      <c r="BH368" s="183"/>
    </row>
    <row r="369" spans="1:60" ht="30" hidden="1" customHeight="1">
      <c r="A369" s="41" t="s">
        <v>1412</v>
      </c>
      <c r="B369" s="116" t="s">
        <v>1801</v>
      </c>
      <c r="C369" s="116" t="s">
        <v>1802</v>
      </c>
      <c r="D369" s="119"/>
      <c r="E369" s="117" t="s">
        <v>107</v>
      </c>
      <c r="F369" s="117" t="s">
        <v>108</v>
      </c>
      <c r="G369" s="116"/>
      <c r="H369" s="119"/>
      <c r="I369" s="118"/>
      <c r="J369" s="41" t="s">
        <v>178</v>
      </c>
      <c r="K369" s="5">
        <v>1</v>
      </c>
      <c r="L369" s="41" t="s">
        <v>178</v>
      </c>
      <c r="M369" s="41">
        <v>1</v>
      </c>
      <c r="N369" s="39"/>
      <c r="O369" s="39"/>
      <c r="P369" s="5" t="s">
        <v>179</v>
      </c>
      <c r="Q369" s="41"/>
      <c r="R369" s="41" t="s">
        <v>112</v>
      </c>
      <c r="S369" s="5">
        <v>4</v>
      </c>
      <c r="T369" s="5" t="s">
        <v>801</v>
      </c>
      <c r="U369" s="41"/>
      <c r="V369" s="5"/>
      <c r="W369" s="174"/>
      <c r="X369" s="174"/>
      <c r="Y369" s="41"/>
      <c r="Z369" s="3" t="s">
        <v>116</v>
      </c>
      <c r="AA369" s="3" t="s">
        <v>1421</v>
      </c>
      <c r="AB369" s="3" t="s">
        <v>118</v>
      </c>
      <c r="AC369" s="3" t="s">
        <v>119</v>
      </c>
      <c r="AD369" s="3"/>
      <c r="AE369" s="3"/>
      <c r="AF369" s="12">
        <f t="shared" si="10"/>
        <v>72</v>
      </c>
      <c r="AG369" s="7">
        <v>80</v>
      </c>
      <c r="AH369" s="7"/>
      <c r="AI369" s="7">
        <v>80</v>
      </c>
      <c r="AJ369" s="7" t="s">
        <v>1422</v>
      </c>
      <c r="AK369" s="7">
        <v>40</v>
      </c>
      <c r="AL369" s="7"/>
      <c r="AM369" s="7">
        <v>80</v>
      </c>
      <c r="AN369" s="7"/>
      <c r="AO369" s="63">
        <v>5.8</v>
      </c>
      <c r="AP369" s="58">
        <v>1600</v>
      </c>
      <c r="AQ369" s="58">
        <v>420</v>
      </c>
      <c r="AR369" s="58">
        <v>420</v>
      </c>
      <c r="AS369" s="30">
        <v>17052</v>
      </c>
      <c r="AT369" s="30">
        <v>9280</v>
      </c>
      <c r="AU369" s="30">
        <v>26332</v>
      </c>
      <c r="AV369" s="199">
        <v>17052</v>
      </c>
      <c r="AW369" s="199">
        <v>9280</v>
      </c>
      <c r="AX369" s="199">
        <v>26332</v>
      </c>
      <c r="AY369" s="203"/>
      <c r="AZ369" s="203"/>
      <c r="BA369" s="203">
        <v>0</v>
      </c>
      <c r="BB369" s="189" t="s">
        <v>1423</v>
      </c>
      <c r="BC369" s="191"/>
      <c r="BD369" s="192">
        <v>3</v>
      </c>
      <c r="BE369" s="30" t="s">
        <v>803</v>
      </c>
      <c r="BF369" s="186"/>
      <c r="BG369" s="183"/>
      <c r="BH369" s="183"/>
    </row>
    <row r="370" spans="1:60" ht="30" hidden="1" customHeight="1">
      <c r="A370" s="168" t="s">
        <v>122</v>
      </c>
      <c r="B370" s="119" t="s">
        <v>904</v>
      </c>
      <c r="C370" s="119" t="s">
        <v>1442</v>
      </c>
      <c r="D370" s="119"/>
      <c r="E370" s="118" t="s">
        <v>107</v>
      </c>
      <c r="F370" s="118" t="s">
        <v>108</v>
      </c>
      <c r="G370" s="119"/>
      <c r="H370" s="119"/>
      <c r="I370" s="118"/>
      <c r="J370" s="41" t="s">
        <v>178</v>
      </c>
      <c r="K370" s="41">
        <v>1</v>
      </c>
      <c r="L370" s="41" t="s">
        <v>178</v>
      </c>
      <c r="M370" s="41">
        <v>1</v>
      </c>
      <c r="N370" s="39"/>
      <c r="O370" s="39"/>
      <c r="P370" s="5" t="s">
        <v>179</v>
      </c>
      <c r="Q370" s="41"/>
      <c r="R370" s="5" t="s">
        <v>112</v>
      </c>
      <c r="S370" s="41"/>
      <c r="T370" s="41" t="s">
        <v>801</v>
      </c>
      <c r="U370" s="41"/>
      <c r="V370" s="41"/>
      <c r="W370" s="174"/>
      <c r="X370" s="174"/>
      <c r="Y370" s="41"/>
      <c r="Z370" s="42" t="s">
        <v>220</v>
      </c>
      <c r="AA370" s="37" t="s">
        <v>909</v>
      </c>
      <c r="AB370" s="42" t="s">
        <v>118</v>
      </c>
      <c r="AC370" s="42" t="s">
        <v>119</v>
      </c>
      <c r="AD370" s="51"/>
      <c r="AE370" s="51"/>
      <c r="AF370" s="38">
        <f t="shared" si="10"/>
        <v>72</v>
      </c>
      <c r="AG370" s="39">
        <v>80</v>
      </c>
      <c r="AH370" s="39"/>
      <c r="AI370" s="39">
        <v>80</v>
      </c>
      <c r="AJ370" s="39"/>
      <c r="AK370" s="39">
        <v>40</v>
      </c>
      <c r="AL370" s="39"/>
      <c r="AM370" s="39">
        <v>80</v>
      </c>
      <c r="AN370" s="39"/>
      <c r="AO370" s="63">
        <v>5.8</v>
      </c>
      <c r="AP370" s="58">
        <v>1600</v>
      </c>
      <c r="AQ370" s="58">
        <v>420</v>
      </c>
      <c r="AR370" s="58">
        <v>420</v>
      </c>
      <c r="AS370" s="30">
        <v>7308</v>
      </c>
      <c r="AT370" s="30">
        <v>9280</v>
      </c>
      <c r="AU370" s="30">
        <v>16588</v>
      </c>
      <c r="AV370" s="197">
        <v>7308</v>
      </c>
      <c r="AW370" s="197">
        <v>9280</v>
      </c>
      <c r="AX370" s="197">
        <v>16588</v>
      </c>
      <c r="AY370" s="203"/>
      <c r="AZ370" s="203"/>
      <c r="BA370" s="203">
        <v>0</v>
      </c>
      <c r="BB370" s="191" t="s">
        <v>1444</v>
      </c>
      <c r="BC370" s="191"/>
      <c r="BD370" s="190">
        <v>3</v>
      </c>
      <c r="BE370" s="40" t="s">
        <v>803</v>
      </c>
      <c r="BF370" s="187"/>
      <c r="BG370" s="183"/>
      <c r="BH370" s="183"/>
    </row>
    <row r="371" spans="1:60" ht="30" hidden="1" customHeight="1">
      <c r="A371" s="168" t="s">
        <v>103</v>
      </c>
      <c r="B371" s="119" t="s">
        <v>1803</v>
      </c>
      <c r="C371" s="119" t="s">
        <v>1442</v>
      </c>
      <c r="D371" s="119"/>
      <c r="E371" s="118" t="s">
        <v>107</v>
      </c>
      <c r="F371" s="117" t="s">
        <v>108</v>
      </c>
      <c r="G371" s="119"/>
      <c r="H371" s="119"/>
      <c r="I371" s="118"/>
      <c r="J371" s="41" t="s">
        <v>178</v>
      </c>
      <c r="K371" s="41">
        <v>1</v>
      </c>
      <c r="L371" s="41" t="s">
        <v>178</v>
      </c>
      <c r="M371" s="41">
        <v>1</v>
      </c>
      <c r="N371" s="39"/>
      <c r="O371" s="39"/>
      <c r="P371" s="5" t="s">
        <v>179</v>
      </c>
      <c r="Q371" s="41"/>
      <c r="R371" s="5" t="s">
        <v>112</v>
      </c>
      <c r="S371" s="41"/>
      <c r="T371" s="41" t="s">
        <v>801</v>
      </c>
      <c r="U371" s="41"/>
      <c r="V371" s="41"/>
      <c r="W371" s="174"/>
      <c r="X371" s="174"/>
      <c r="Y371" s="41"/>
      <c r="Z371" s="42" t="s">
        <v>116</v>
      </c>
      <c r="AA371" s="42" t="s">
        <v>1446</v>
      </c>
      <c r="AB371" s="42" t="s">
        <v>118</v>
      </c>
      <c r="AC371" s="42" t="s">
        <v>700</v>
      </c>
      <c r="AD371" s="42"/>
      <c r="AE371" s="42"/>
      <c r="AF371" s="38">
        <f t="shared" si="10"/>
        <v>72</v>
      </c>
      <c r="AG371" s="39">
        <v>80</v>
      </c>
      <c r="AH371" s="39"/>
      <c r="AI371" s="39">
        <v>80</v>
      </c>
      <c r="AJ371" s="39"/>
      <c r="AK371" s="39">
        <v>40</v>
      </c>
      <c r="AL371" s="39"/>
      <c r="AM371" s="39">
        <v>80</v>
      </c>
      <c r="AN371" s="39"/>
      <c r="AO371" s="63">
        <v>5.8</v>
      </c>
      <c r="AP371" s="58">
        <v>1600</v>
      </c>
      <c r="AQ371" s="58">
        <v>420</v>
      </c>
      <c r="AR371" s="58">
        <v>420</v>
      </c>
      <c r="AS371" s="30">
        <v>7308</v>
      </c>
      <c r="AT371" s="30">
        <v>9280</v>
      </c>
      <c r="AU371" s="30">
        <v>16588</v>
      </c>
      <c r="AV371" s="199">
        <v>7308</v>
      </c>
      <c r="AW371" s="199">
        <v>9280</v>
      </c>
      <c r="AX371" s="199">
        <v>16588</v>
      </c>
      <c r="AY371" s="203"/>
      <c r="AZ371" s="203"/>
      <c r="BA371" s="203">
        <v>0</v>
      </c>
      <c r="BB371" s="189" t="s">
        <v>1444</v>
      </c>
      <c r="BC371" s="191"/>
      <c r="BD371" s="192">
        <v>3</v>
      </c>
      <c r="BE371" s="40" t="s">
        <v>803</v>
      </c>
      <c r="BF371" s="187"/>
      <c r="BG371" s="183"/>
      <c r="BH371" s="183"/>
    </row>
    <row r="372" spans="1:60" ht="30" hidden="1" customHeight="1">
      <c r="A372" s="168" t="s">
        <v>103</v>
      </c>
      <c r="B372" s="119" t="s">
        <v>1804</v>
      </c>
      <c r="C372" s="119" t="s">
        <v>1442</v>
      </c>
      <c r="D372" s="119"/>
      <c r="E372" s="118" t="s">
        <v>107</v>
      </c>
      <c r="F372" s="117" t="s">
        <v>108</v>
      </c>
      <c r="G372" s="119"/>
      <c r="H372" s="119"/>
      <c r="I372" s="118"/>
      <c r="J372" s="41" t="s">
        <v>178</v>
      </c>
      <c r="K372" s="41">
        <v>1</v>
      </c>
      <c r="L372" s="41" t="s">
        <v>178</v>
      </c>
      <c r="M372" s="41">
        <v>1</v>
      </c>
      <c r="N372" s="39"/>
      <c r="O372" s="39"/>
      <c r="P372" s="5" t="s">
        <v>179</v>
      </c>
      <c r="Q372" s="41"/>
      <c r="R372" s="5" t="s">
        <v>112</v>
      </c>
      <c r="S372" s="41"/>
      <c r="T372" s="41" t="s">
        <v>801</v>
      </c>
      <c r="U372" s="41"/>
      <c r="V372" s="41"/>
      <c r="W372" s="174"/>
      <c r="X372" s="174"/>
      <c r="Y372" s="41"/>
      <c r="Z372" s="42" t="s">
        <v>116</v>
      </c>
      <c r="AA372" s="42" t="s">
        <v>1446</v>
      </c>
      <c r="AB372" s="42" t="s">
        <v>118</v>
      </c>
      <c r="AC372" s="42" t="s">
        <v>700</v>
      </c>
      <c r="AD372" s="42"/>
      <c r="AE372" s="42"/>
      <c r="AF372" s="38">
        <f t="shared" si="10"/>
        <v>72</v>
      </c>
      <c r="AG372" s="39">
        <v>80</v>
      </c>
      <c r="AH372" s="39"/>
      <c r="AI372" s="39">
        <v>80</v>
      </c>
      <c r="AJ372" s="39"/>
      <c r="AK372" s="39">
        <v>40</v>
      </c>
      <c r="AL372" s="39"/>
      <c r="AM372" s="39">
        <v>80</v>
      </c>
      <c r="AN372" s="39"/>
      <c r="AO372" s="63">
        <v>5.8</v>
      </c>
      <c r="AP372" s="58">
        <v>1600</v>
      </c>
      <c r="AQ372" s="58">
        <v>420</v>
      </c>
      <c r="AR372" s="58">
        <v>420</v>
      </c>
      <c r="AS372" s="30">
        <v>7308</v>
      </c>
      <c r="AT372" s="30">
        <v>9280</v>
      </c>
      <c r="AU372" s="30">
        <v>16588</v>
      </c>
      <c r="AV372" s="197">
        <v>7308</v>
      </c>
      <c r="AW372" s="197">
        <v>9280</v>
      </c>
      <c r="AX372" s="197">
        <v>16588</v>
      </c>
      <c r="AY372" s="203"/>
      <c r="AZ372" s="203"/>
      <c r="BA372" s="203">
        <v>0</v>
      </c>
      <c r="BB372" s="191" t="s">
        <v>636</v>
      </c>
      <c r="BC372" s="191"/>
      <c r="BD372" s="192">
        <v>3</v>
      </c>
      <c r="BE372" s="40" t="s">
        <v>803</v>
      </c>
      <c r="BF372" s="187"/>
      <c r="BG372" s="183"/>
      <c r="BH372" s="183"/>
    </row>
    <row r="373" spans="1:60" ht="30" hidden="1" customHeight="1">
      <c r="A373" s="168" t="s">
        <v>103</v>
      </c>
      <c r="B373" s="119" t="s">
        <v>1805</v>
      </c>
      <c r="C373" s="119" t="s">
        <v>1442</v>
      </c>
      <c r="D373" s="119"/>
      <c r="E373" s="118" t="s">
        <v>107</v>
      </c>
      <c r="F373" s="117" t="s">
        <v>108</v>
      </c>
      <c r="G373" s="119"/>
      <c r="H373" s="119"/>
      <c r="I373" s="118"/>
      <c r="J373" s="41" t="s">
        <v>178</v>
      </c>
      <c r="K373" s="41">
        <v>1</v>
      </c>
      <c r="L373" s="41" t="s">
        <v>178</v>
      </c>
      <c r="M373" s="41">
        <v>1</v>
      </c>
      <c r="N373" s="39"/>
      <c r="O373" s="39"/>
      <c r="P373" s="5" t="s">
        <v>179</v>
      </c>
      <c r="Q373" s="41"/>
      <c r="R373" s="5" t="s">
        <v>112</v>
      </c>
      <c r="S373" s="41"/>
      <c r="T373" s="41" t="s">
        <v>801</v>
      </c>
      <c r="U373" s="41"/>
      <c r="V373" s="41"/>
      <c r="W373" s="174"/>
      <c r="X373" s="174"/>
      <c r="Y373" s="41"/>
      <c r="Z373" s="42" t="s">
        <v>116</v>
      </c>
      <c r="AA373" s="42" t="s">
        <v>1446</v>
      </c>
      <c r="AB373" s="42" t="s">
        <v>118</v>
      </c>
      <c r="AC373" s="42" t="s">
        <v>700</v>
      </c>
      <c r="AD373" s="42"/>
      <c r="AE373" s="42"/>
      <c r="AF373" s="38">
        <f t="shared" si="10"/>
        <v>72</v>
      </c>
      <c r="AG373" s="7">
        <v>80</v>
      </c>
      <c r="AH373" s="7"/>
      <c r="AI373" s="7">
        <v>80</v>
      </c>
      <c r="AJ373" s="7"/>
      <c r="AK373" s="7">
        <v>40</v>
      </c>
      <c r="AL373" s="7"/>
      <c r="AM373" s="7">
        <v>80</v>
      </c>
      <c r="AN373" s="7"/>
      <c r="AO373" s="63">
        <v>5.8</v>
      </c>
      <c r="AP373" s="58">
        <v>1600</v>
      </c>
      <c r="AQ373" s="58">
        <v>420</v>
      </c>
      <c r="AR373" s="58">
        <v>420</v>
      </c>
      <c r="AS373" s="30">
        <v>7308</v>
      </c>
      <c r="AT373" s="30">
        <v>9280</v>
      </c>
      <c r="AU373" s="30">
        <v>16588</v>
      </c>
      <c r="AV373" s="197">
        <v>7308</v>
      </c>
      <c r="AW373" s="197">
        <v>9280</v>
      </c>
      <c r="AX373" s="197">
        <v>16588</v>
      </c>
      <c r="AY373" s="203"/>
      <c r="AZ373" s="203"/>
      <c r="BA373" s="203">
        <v>0</v>
      </c>
      <c r="BB373" s="191" t="s">
        <v>1806</v>
      </c>
      <c r="BC373" s="191"/>
      <c r="BD373" s="192">
        <v>3</v>
      </c>
      <c r="BE373" s="40" t="s">
        <v>803</v>
      </c>
      <c r="BF373" s="187"/>
      <c r="BG373" s="183"/>
      <c r="BH373" s="183"/>
    </row>
    <row r="374" spans="1:60" ht="30" hidden="1" customHeight="1">
      <c r="A374" s="168" t="s">
        <v>103</v>
      </c>
      <c r="B374" s="119" t="s">
        <v>1807</v>
      </c>
      <c r="C374" s="119" t="s">
        <v>1442</v>
      </c>
      <c r="D374" s="119"/>
      <c r="E374" s="118" t="s">
        <v>107</v>
      </c>
      <c r="F374" s="118" t="s">
        <v>108</v>
      </c>
      <c r="G374" s="119"/>
      <c r="H374" s="119"/>
      <c r="I374" s="118"/>
      <c r="J374" s="41" t="s">
        <v>178</v>
      </c>
      <c r="K374" s="41">
        <v>1</v>
      </c>
      <c r="L374" s="41" t="s">
        <v>178</v>
      </c>
      <c r="M374" s="41">
        <v>1</v>
      </c>
      <c r="N374" s="39"/>
      <c r="O374" s="39"/>
      <c r="P374" s="5" t="s">
        <v>179</v>
      </c>
      <c r="Q374" s="41"/>
      <c r="R374" s="5" t="s">
        <v>112</v>
      </c>
      <c r="S374" s="41"/>
      <c r="T374" s="41" t="s">
        <v>801</v>
      </c>
      <c r="U374" s="41"/>
      <c r="V374" s="41"/>
      <c r="W374" s="174"/>
      <c r="X374" s="174"/>
      <c r="Y374" s="41"/>
      <c r="Z374" s="42" t="s">
        <v>116</v>
      </c>
      <c r="AA374" s="42" t="s">
        <v>1446</v>
      </c>
      <c r="AB374" s="42" t="s">
        <v>118</v>
      </c>
      <c r="AC374" s="42" t="s">
        <v>700</v>
      </c>
      <c r="AD374" s="42"/>
      <c r="AE374" s="42"/>
      <c r="AF374" s="38">
        <f t="shared" si="10"/>
        <v>72</v>
      </c>
      <c r="AG374" s="39">
        <v>80</v>
      </c>
      <c r="AH374" s="39"/>
      <c r="AI374" s="39">
        <v>80</v>
      </c>
      <c r="AJ374" s="39"/>
      <c r="AK374" s="39">
        <v>40</v>
      </c>
      <c r="AL374" s="39"/>
      <c r="AM374" s="39">
        <v>80</v>
      </c>
      <c r="AN374" s="39"/>
      <c r="AO374" s="63">
        <v>5.8</v>
      </c>
      <c r="AP374" s="58">
        <v>1600</v>
      </c>
      <c r="AQ374" s="58">
        <v>420</v>
      </c>
      <c r="AR374" s="58">
        <v>420</v>
      </c>
      <c r="AS374" s="30">
        <v>7308</v>
      </c>
      <c r="AT374" s="30">
        <v>9280</v>
      </c>
      <c r="AU374" s="30">
        <v>16588</v>
      </c>
      <c r="AV374" s="197">
        <v>7308</v>
      </c>
      <c r="AW374" s="197">
        <v>9280</v>
      </c>
      <c r="AX374" s="197">
        <v>16588</v>
      </c>
      <c r="AY374" s="203"/>
      <c r="AZ374" s="203"/>
      <c r="BA374" s="203">
        <v>0</v>
      </c>
      <c r="BB374" s="191" t="s">
        <v>1216</v>
      </c>
      <c r="BC374" s="191"/>
      <c r="BD374" s="192">
        <v>3</v>
      </c>
      <c r="BE374" s="40" t="s">
        <v>803</v>
      </c>
      <c r="BF374" s="187"/>
      <c r="BG374" s="183"/>
      <c r="BH374" s="183"/>
    </row>
    <row r="375" spans="1:60" ht="30" hidden="1" customHeight="1">
      <c r="A375" s="168" t="s">
        <v>122</v>
      </c>
      <c r="B375" s="119" t="s">
        <v>917</v>
      </c>
      <c r="C375" s="119" t="s">
        <v>340</v>
      </c>
      <c r="D375" s="119"/>
      <c r="E375" s="118" t="s">
        <v>126</v>
      </c>
      <c r="F375" s="118" t="s">
        <v>340</v>
      </c>
      <c r="G375" s="119" t="s">
        <v>1751</v>
      </c>
      <c r="H375" s="119"/>
      <c r="I375" s="118"/>
      <c r="J375" s="41" t="s">
        <v>110</v>
      </c>
      <c r="K375" s="41">
        <v>1</v>
      </c>
      <c r="L375" s="41" t="s">
        <v>178</v>
      </c>
      <c r="M375" s="41">
        <v>1</v>
      </c>
      <c r="N375" s="39"/>
      <c r="O375" s="39"/>
      <c r="P375" s="5" t="s">
        <v>179</v>
      </c>
      <c r="Q375" s="41"/>
      <c r="R375" s="5" t="s">
        <v>112</v>
      </c>
      <c r="S375" s="41">
        <v>5</v>
      </c>
      <c r="T375" s="41" t="s">
        <v>801</v>
      </c>
      <c r="U375" s="41"/>
      <c r="V375" s="41"/>
      <c r="W375" s="174"/>
      <c r="X375" s="174"/>
      <c r="Y375" s="41"/>
      <c r="Z375" s="42" t="s">
        <v>220</v>
      </c>
      <c r="AA375" s="42" t="s">
        <v>919</v>
      </c>
      <c r="AB375" s="42" t="s">
        <v>118</v>
      </c>
      <c r="AC375" s="42"/>
      <c r="AD375" s="42"/>
      <c r="AE375" s="42"/>
      <c r="AF375" s="38">
        <f t="shared" si="10"/>
        <v>72</v>
      </c>
      <c r="AG375" s="39">
        <v>80</v>
      </c>
      <c r="AH375" s="39"/>
      <c r="AI375" s="39">
        <v>80</v>
      </c>
      <c r="AJ375" s="39" t="s">
        <v>1752</v>
      </c>
      <c r="AK375" s="39">
        <v>40</v>
      </c>
      <c r="AL375" s="39"/>
      <c r="AM375" s="39">
        <v>80</v>
      </c>
      <c r="AN375" s="39"/>
      <c r="AO375" s="63">
        <v>5.8</v>
      </c>
      <c r="AP375" s="58">
        <v>1600</v>
      </c>
      <c r="AQ375" s="58">
        <v>390</v>
      </c>
      <c r="AR375" s="58">
        <v>390</v>
      </c>
      <c r="AS375" s="30">
        <v>18096</v>
      </c>
      <c r="AT375" s="30">
        <v>9280</v>
      </c>
      <c r="AU375" s="30">
        <v>27376</v>
      </c>
      <c r="AV375" s="197">
        <v>18096</v>
      </c>
      <c r="AW375" s="197">
        <v>9280</v>
      </c>
      <c r="AX375" s="197">
        <v>27376</v>
      </c>
      <c r="AY375" s="203"/>
      <c r="AZ375" s="203"/>
      <c r="BA375" s="203">
        <v>0</v>
      </c>
      <c r="BB375" s="191" t="s">
        <v>1753</v>
      </c>
      <c r="BC375" s="191"/>
      <c r="BD375" s="41">
        <v>3</v>
      </c>
      <c r="BE375" s="40"/>
      <c r="BF375" s="187"/>
      <c r="BG375" s="183"/>
      <c r="BH375" s="183"/>
    </row>
    <row r="376" spans="1:60" ht="30" hidden="1" customHeight="1">
      <c r="A376" s="168" t="s">
        <v>192</v>
      </c>
      <c r="B376" s="119" t="s">
        <v>1808</v>
      </c>
      <c r="C376" s="119" t="s">
        <v>456</v>
      </c>
      <c r="D376" s="119"/>
      <c r="E376" s="118" t="s">
        <v>216</v>
      </c>
      <c r="F376" s="117" t="s">
        <v>217</v>
      </c>
      <c r="G376" s="119" t="s">
        <v>1809</v>
      </c>
      <c r="H376" s="119"/>
      <c r="I376" s="118"/>
      <c r="J376" s="41" t="s">
        <v>110</v>
      </c>
      <c r="K376" s="41">
        <v>3</v>
      </c>
      <c r="L376" s="41" t="s">
        <v>178</v>
      </c>
      <c r="M376" s="41">
        <v>2</v>
      </c>
      <c r="N376" s="39"/>
      <c r="O376" s="39"/>
      <c r="P376" s="5" t="s">
        <v>179</v>
      </c>
      <c r="Q376" s="41"/>
      <c r="R376" s="5" t="s">
        <v>112</v>
      </c>
      <c r="S376" s="41">
        <v>5</v>
      </c>
      <c r="T376" s="41" t="s">
        <v>801</v>
      </c>
      <c r="U376" s="41"/>
      <c r="V376" s="41"/>
      <c r="W376" s="174"/>
      <c r="X376" s="174"/>
      <c r="Y376" s="41"/>
      <c r="Z376" s="42" t="s">
        <v>306</v>
      </c>
      <c r="AA376" s="42" t="s">
        <v>1810</v>
      </c>
      <c r="AB376" s="42" t="s">
        <v>118</v>
      </c>
      <c r="AC376" s="42" t="s">
        <v>1811</v>
      </c>
      <c r="AD376" s="42"/>
      <c r="AE376" s="42"/>
      <c r="AF376" s="38">
        <f t="shared" si="10"/>
        <v>72</v>
      </c>
      <c r="AG376" s="39">
        <v>80</v>
      </c>
      <c r="AH376" s="39" t="s">
        <v>1812</v>
      </c>
      <c r="AI376" s="39">
        <v>80</v>
      </c>
      <c r="AJ376" s="39" t="s">
        <v>1813</v>
      </c>
      <c r="AK376" s="39">
        <v>40</v>
      </c>
      <c r="AL376" s="39"/>
      <c r="AM376" s="39">
        <v>80</v>
      </c>
      <c r="AN376" s="39" t="s">
        <v>865</v>
      </c>
      <c r="AO376" s="63">
        <v>5.8</v>
      </c>
      <c r="AP376" s="58">
        <v>1600</v>
      </c>
      <c r="AQ376" s="58">
        <v>420</v>
      </c>
      <c r="AR376" s="58">
        <v>420</v>
      </c>
      <c r="AS376" s="30">
        <v>58464</v>
      </c>
      <c r="AT376" s="30">
        <v>27840</v>
      </c>
      <c r="AU376" s="30">
        <v>86304</v>
      </c>
      <c r="AV376" s="197">
        <v>38976</v>
      </c>
      <c r="AW376" s="197">
        <v>18560</v>
      </c>
      <c r="AX376" s="197">
        <v>57536</v>
      </c>
      <c r="AY376" s="203"/>
      <c r="AZ376" s="203"/>
      <c r="BA376" s="203">
        <v>0</v>
      </c>
      <c r="BB376" s="191" t="s">
        <v>1814</v>
      </c>
      <c r="BC376" s="191"/>
      <c r="BD376" s="41">
        <v>3</v>
      </c>
      <c r="BE376" s="40" t="s">
        <v>1411</v>
      </c>
      <c r="BF376" s="187"/>
      <c r="BG376" s="183"/>
      <c r="BH376" s="183"/>
    </row>
    <row r="377" spans="1:60" ht="30" hidden="1" customHeight="1">
      <c r="A377" s="168" t="s">
        <v>122</v>
      </c>
      <c r="B377" s="119" t="s">
        <v>1815</v>
      </c>
      <c r="C377" s="119" t="s">
        <v>1487</v>
      </c>
      <c r="D377" s="119"/>
      <c r="E377" s="118" t="s">
        <v>126</v>
      </c>
      <c r="F377" s="117" t="s">
        <v>152</v>
      </c>
      <c r="G377" s="119" t="s">
        <v>1816</v>
      </c>
      <c r="H377" s="119"/>
      <c r="I377" s="118"/>
      <c r="J377" s="41" t="s">
        <v>110</v>
      </c>
      <c r="K377" s="41">
        <v>1</v>
      </c>
      <c r="L377" s="41" t="s">
        <v>178</v>
      </c>
      <c r="M377" s="41">
        <v>1</v>
      </c>
      <c r="N377" s="39"/>
      <c r="O377" s="39"/>
      <c r="P377" s="5" t="s">
        <v>179</v>
      </c>
      <c r="Q377" s="41"/>
      <c r="R377" s="5" t="s">
        <v>112</v>
      </c>
      <c r="S377" s="41">
        <v>4</v>
      </c>
      <c r="T377" s="5" t="s">
        <v>218</v>
      </c>
      <c r="U377" s="41"/>
      <c r="V377" s="41"/>
      <c r="W377" s="174"/>
      <c r="X377" s="174"/>
      <c r="Y377" s="41"/>
      <c r="Z377" s="42" t="s">
        <v>116</v>
      </c>
      <c r="AA377" s="42" t="s">
        <v>1817</v>
      </c>
      <c r="AB377" s="42" t="s">
        <v>496</v>
      </c>
      <c r="AC377" s="42"/>
      <c r="AD377" s="42"/>
      <c r="AE377" s="42"/>
      <c r="AF377" s="38">
        <f t="shared" si="10"/>
        <v>72</v>
      </c>
      <c r="AG377" s="39">
        <v>80</v>
      </c>
      <c r="AH377" s="39"/>
      <c r="AI377" s="39">
        <v>80</v>
      </c>
      <c r="AJ377" s="39"/>
      <c r="AK377" s="39">
        <v>40</v>
      </c>
      <c r="AL377" s="39"/>
      <c r="AM377" s="39">
        <v>80</v>
      </c>
      <c r="AN377" s="39"/>
      <c r="AO377" s="63">
        <v>5.8</v>
      </c>
      <c r="AP377" s="58">
        <v>1600</v>
      </c>
      <c r="AQ377" s="58">
        <v>320</v>
      </c>
      <c r="AR377" s="58">
        <v>320</v>
      </c>
      <c r="AS377" s="30">
        <v>12992</v>
      </c>
      <c r="AT377" s="30">
        <v>9280</v>
      </c>
      <c r="AU377" s="30">
        <v>22272</v>
      </c>
      <c r="AV377" s="197">
        <v>12992</v>
      </c>
      <c r="AW377" s="197">
        <v>9280</v>
      </c>
      <c r="AX377" s="197">
        <v>22272</v>
      </c>
      <c r="AY377" s="203"/>
      <c r="AZ377" s="203"/>
      <c r="BA377" s="203">
        <v>0</v>
      </c>
      <c r="BB377" s="191" t="s">
        <v>1490</v>
      </c>
      <c r="BC377" s="191"/>
      <c r="BD377" s="41">
        <v>3</v>
      </c>
      <c r="BE377" s="40"/>
      <c r="BF377" s="187"/>
      <c r="BG377" s="183"/>
      <c r="BH377" s="183"/>
    </row>
    <row r="378" spans="1:60" ht="30" customHeight="1">
      <c r="A378" s="168" t="s">
        <v>122</v>
      </c>
      <c r="B378" s="119" t="s">
        <v>1818</v>
      </c>
      <c r="C378" s="119" t="s">
        <v>1344</v>
      </c>
      <c r="D378" s="119"/>
      <c r="E378" s="118" t="s">
        <v>195</v>
      </c>
      <c r="F378" s="117" t="s">
        <v>166</v>
      </c>
      <c r="G378" s="119"/>
      <c r="H378" s="119"/>
      <c r="I378" s="118"/>
      <c r="J378" s="41" t="s">
        <v>178</v>
      </c>
      <c r="K378" s="41">
        <v>2</v>
      </c>
      <c r="L378" s="41" t="s">
        <v>178</v>
      </c>
      <c r="M378" s="41">
        <v>2</v>
      </c>
      <c r="N378" s="39"/>
      <c r="O378" s="39"/>
      <c r="P378" s="5" t="s">
        <v>179</v>
      </c>
      <c r="Q378" s="41"/>
      <c r="R378" s="5" t="s">
        <v>112</v>
      </c>
      <c r="S378" s="41">
        <v>5</v>
      </c>
      <c r="T378" s="5" t="s">
        <v>218</v>
      </c>
      <c r="U378" s="41"/>
      <c r="V378" s="41"/>
      <c r="W378" s="174"/>
      <c r="X378" s="174"/>
      <c r="Y378" s="41"/>
      <c r="Z378" s="42" t="s">
        <v>817</v>
      </c>
      <c r="AA378" s="37"/>
      <c r="AB378" s="42" t="s">
        <v>118</v>
      </c>
      <c r="AC378" s="42"/>
      <c r="AD378" s="51"/>
      <c r="AE378" s="51"/>
      <c r="AF378" s="38">
        <f t="shared" si="10"/>
        <v>72</v>
      </c>
      <c r="AG378" s="39">
        <v>60</v>
      </c>
      <c r="AH378" s="39"/>
      <c r="AI378" s="39">
        <v>80</v>
      </c>
      <c r="AJ378" s="39"/>
      <c r="AK378" s="39">
        <v>80</v>
      </c>
      <c r="AL378" s="39"/>
      <c r="AM378" s="39">
        <v>80</v>
      </c>
      <c r="AN378" s="39"/>
      <c r="AO378" s="63">
        <v>5.8</v>
      </c>
      <c r="AP378" s="58">
        <v>1600</v>
      </c>
      <c r="AQ378" s="58">
        <v>330</v>
      </c>
      <c r="AR378" s="58">
        <v>330</v>
      </c>
      <c r="AS378" s="30">
        <v>30624</v>
      </c>
      <c r="AT378" s="30">
        <v>18560</v>
      </c>
      <c r="AU378" s="30">
        <v>49184</v>
      </c>
      <c r="AV378" s="197">
        <v>30624</v>
      </c>
      <c r="AW378" s="197">
        <v>18560</v>
      </c>
      <c r="AX378" s="197">
        <v>49184</v>
      </c>
      <c r="AY378" s="203"/>
      <c r="AZ378" s="203"/>
      <c r="BA378" s="203">
        <v>0</v>
      </c>
      <c r="BB378" s="191"/>
      <c r="BC378" s="191"/>
      <c r="BD378" s="192">
        <v>3</v>
      </c>
      <c r="BE378" s="40"/>
      <c r="BF378" s="187"/>
      <c r="BG378" s="183"/>
      <c r="BH378" s="183"/>
    </row>
    <row r="379" spans="1:60" ht="30" hidden="1" customHeight="1">
      <c r="A379" s="168" t="s">
        <v>122</v>
      </c>
      <c r="B379" s="119" t="s">
        <v>728</v>
      </c>
      <c r="C379" s="119" t="s">
        <v>729</v>
      </c>
      <c r="D379" s="119"/>
      <c r="E379" s="118" t="s">
        <v>1505</v>
      </c>
      <c r="F379" s="118" t="s">
        <v>152</v>
      </c>
      <c r="G379" s="119" t="s">
        <v>1819</v>
      </c>
      <c r="H379" s="119"/>
      <c r="I379" s="118"/>
      <c r="J379" s="41" t="s">
        <v>178</v>
      </c>
      <c r="K379" s="41">
        <v>1</v>
      </c>
      <c r="L379" s="41" t="s">
        <v>178</v>
      </c>
      <c r="M379" s="41">
        <v>1</v>
      </c>
      <c r="N379" s="39"/>
      <c r="O379" s="39"/>
      <c r="P379" s="5" t="s">
        <v>179</v>
      </c>
      <c r="Q379" s="41"/>
      <c r="R379" s="41" t="s">
        <v>112</v>
      </c>
      <c r="S379" s="41">
        <v>5</v>
      </c>
      <c r="T379" s="41" t="s">
        <v>801</v>
      </c>
      <c r="U379" s="41"/>
      <c r="V379" s="41"/>
      <c r="W379" s="174"/>
      <c r="X379" s="174"/>
      <c r="Y379" s="41"/>
      <c r="Z379" s="42" t="s">
        <v>220</v>
      </c>
      <c r="AA379" s="158" t="s">
        <v>1820</v>
      </c>
      <c r="AB379" s="42" t="s">
        <v>118</v>
      </c>
      <c r="AC379" s="42"/>
      <c r="AD379" s="42"/>
      <c r="AE379" s="42"/>
      <c r="AF379" s="38">
        <f>PAI2025Planejamento[[#This Row],[1) IMPACTO NO MERCADO]]*$AG$2+PAI2025Planejamento[[#This Row],[2) RELEVÂNCIA TEMÁTICA]]*$AI$2+PAI2025Planejamento[[#This Row],[3) TIPO DE ATUAÇÃO]]*$AK$2+PAI2025Planejamento[[#This Row],[4) TIPO DE FÓRUM]]*$AM$2</f>
        <v>72</v>
      </c>
      <c r="AG379" s="39">
        <v>80</v>
      </c>
      <c r="AH379" s="39"/>
      <c r="AI379" s="39">
        <v>80</v>
      </c>
      <c r="AJ379" s="39"/>
      <c r="AK379" s="39">
        <v>40</v>
      </c>
      <c r="AL379" s="39"/>
      <c r="AM379" s="39">
        <v>80</v>
      </c>
      <c r="AN379" s="39"/>
      <c r="AO379" s="63">
        <v>5.8</v>
      </c>
      <c r="AP379" s="58">
        <v>1600</v>
      </c>
      <c r="AQ379" s="58">
        <v>330</v>
      </c>
      <c r="AR379" s="58">
        <v>330</v>
      </c>
      <c r="AS379" s="30">
        <v>15312</v>
      </c>
      <c r="AT379" s="30">
        <v>9280</v>
      </c>
      <c r="AU379" s="30">
        <v>24592</v>
      </c>
      <c r="AV379" s="197">
        <v>15312</v>
      </c>
      <c r="AW379" s="197">
        <v>9280</v>
      </c>
      <c r="AX379" s="197">
        <v>24592</v>
      </c>
      <c r="AY379" s="203"/>
      <c r="AZ379" s="203"/>
      <c r="BA379" s="203">
        <v>0</v>
      </c>
      <c r="BB379" s="191"/>
      <c r="BC379" s="191"/>
      <c r="BD379" s="190">
        <v>3</v>
      </c>
      <c r="BE379" s="40"/>
      <c r="BF379" s="187"/>
      <c r="BG379" s="183"/>
      <c r="BH379" s="183"/>
    </row>
    <row r="380" spans="1:60" ht="30" hidden="1" customHeight="1">
      <c r="A380" s="168" t="s">
        <v>122</v>
      </c>
      <c r="B380" s="119" t="s">
        <v>1821</v>
      </c>
      <c r="C380" s="119" t="s">
        <v>1822</v>
      </c>
      <c r="D380" s="119"/>
      <c r="E380" s="118" t="s">
        <v>1505</v>
      </c>
      <c r="F380" s="117" t="s">
        <v>152</v>
      </c>
      <c r="G380" s="119" t="s">
        <v>1823</v>
      </c>
      <c r="H380" s="119"/>
      <c r="I380" s="118"/>
      <c r="J380" s="41" t="s">
        <v>178</v>
      </c>
      <c r="K380" s="41">
        <v>0</v>
      </c>
      <c r="L380" s="41" t="s">
        <v>178</v>
      </c>
      <c r="M380" s="41">
        <v>0</v>
      </c>
      <c r="N380" s="39"/>
      <c r="O380" s="39"/>
      <c r="P380" s="5" t="s">
        <v>179</v>
      </c>
      <c r="Q380" s="41"/>
      <c r="R380" s="5" t="s">
        <v>112</v>
      </c>
      <c r="S380" s="41">
        <v>5</v>
      </c>
      <c r="T380" s="41" t="s">
        <v>285</v>
      </c>
      <c r="U380" s="41"/>
      <c r="V380" s="41"/>
      <c r="W380" s="174"/>
      <c r="X380" s="174"/>
      <c r="Y380" s="41"/>
      <c r="Z380" s="42" t="s">
        <v>116</v>
      </c>
      <c r="AA380" s="42" t="s">
        <v>1824</v>
      </c>
      <c r="AB380" s="42" t="s">
        <v>118</v>
      </c>
      <c r="AC380" s="42"/>
      <c r="AD380" s="42"/>
      <c r="AE380" s="42"/>
      <c r="AF380" s="38">
        <f>PAI2025Planejamento[[#This Row],[1) IMPACTO NO MERCADO]]*$AG$2+PAI2025Planejamento[[#This Row],[2) RELEVÂNCIA TEMÁTICA]]*$AI$2+PAI2025Planejamento[[#This Row],[3) TIPO DE ATUAÇÃO]]*$AK$2+PAI2025Planejamento[[#This Row],[4) TIPO DE FÓRUM]]*$AM$2</f>
        <v>72</v>
      </c>
      <c r="AG380" s="39">
        <v>80</v>
      </c>
      <c r="AH380" s="39"/>
      <c r="AI380" s="39">
        <v>80</v>
      </c>
      <c r="AJ380" s="39"/>
      <c r="AK380" s="39">
        <v>40</v>
      </c>
      <c r="AL380" s="39"/>
      <c r="AM380" s="39">
        <v>80</v>
      </c>
      <c r="AN380" s="39"/>
      <c r="AO380" s="63">
        <v>5.8</v>
      </c>
      <c r="AP380" s="58">
        <v>1600</v>
      </c>
      <c r="AQ380" s="58">
        <v>330</v>
      </c>
      <c r="AR380" s="58">
        <v>330</v>
      </c>
      <c r="AS380" s="30">
        <v>0</v>
      </c>
      <c r="AT380" s="30">
        <v>0</v>
      </c>
      <c r="AU380" s="30">
        <v>0</v>
      </c>
      <c r="AV380" s="197">
        <v>0</v>
      </c>
      <c r="AW380" s="197">
        <v>0</v>
      </c>
      <c r="AX380" s="197">
        <v>0</v>
      </c>
      <c r="AY380" s="203"/>
      <c r="AZ380" s="203"/>
      <c r="BA380" s="203">
        <v>0</v>
      </c>
      <c r="BB380" s="191"/>
      <c r="BC380" s="191"/>
      <c r="BD380" s="190">
        <v>3</v>
      </c>
      <c r="BE380" s="40"/>
      <c r="BF380" s="187"/>
      <c r="BG380" s="183"/>
      <c r="BH380" s="183"/>
    </row>
    <row r="381" spans="1:60" ht="30" hidden="1" customHeight="1">
      <c r="A381" s="168" t="s">
        <v>122</v>
      </c>
      <c r="B381" s="119" t="s">
        <v>1825</v>
      </c>
      <c r="C381" s="119" t="s">
        <v>1826</v>
      </c>
      <c r="D381" s="119"/>
      <c r="E381" s="118" t="s">
        <v>1505</v>
      </c>
      <c r="F381" s="118" t="s">
        <v>152</v>
      </c>
      <c r="G381" s="119" t="s">
        <v>1823</v>
      </c>
      <c r="H381" s="119"/>
      <c r="I381" s="118"/>
      <c r="J381" s="41" t="s">
        <v>178</v>
      </c>
      <c r="K381" s="41">
        <v>0</v>
      </c>
      <c r="L381" s="41" t="s">
        <v>178</v>
      </c>
      <c r="M381" s="41">
        <v>0</v>
      </c>
      <c r="N381" s="39"/>
      <c r="O381" s="39"/>
      <c r="P381" s="5" t="s">
        <v>179</v>
      </c>
      <c r="Q381" s="41"/>
      <c r="R381" s="5" t="s">
        <v>112</v>
      </c>
      <c r="S381" s="41">
        <v>5</v>
      </c>
      <c r="T381" s="41" t="s">
        <v>285</v>
      </c>
      <c r="U381" s="41"/>
      <c r="V381" s="41"/>
      <c r="W381" s="174"/>
      <c r="X381" s="174"/>
      <c r="Y381" s="41"/>
      <c r="Z381" s="42" t="s">
        <v>116</v>
      </c>
      <c r="AA381" s="42" t="s">
        <v>1827</v>
      </c>
      <c r="AB381" s="42" t="s">
        <v>118</v>
      </c>
      <c r="AC381" s="42"/>
      <c r="AD381" s="42"/>
      <c r="AE381" s="42"/>
      <c r="AF381" s="38">
        <f>PAI2025Planejamento[[#This Row],[1) IMPACTO NO MERCADO]]*$AG$2+PAI2025Planejamento[[#This Row],[2) RELEVÂNCIA TEMÁTICA]]*$AI$2+PAI2025Planejamento[[#This Row],[3) TIPO DE ATUAÇÃO]]*$AK$2+PAI2025Planejamento[[#This Row],[4) TIPO DE FÓRUM]]*$AM$2</f>
        <v>72</v>
      </c>
      <c r="AG381" s="7">
        <v>80</v>
      </c>
      <c r="AH381" s="7"/>
      <c r="AI381" s="7">
        <v>80</v>
      </c>
      <c r="AJ381" s="7"/>
      <c r="AK381" s="7">
        <v>40</v>
      </c>
      <c r="AL381" s="7"/>
      <c r="AM381" s="7">
        <v>80</v>
      </c>
      <c r="AN381" s="39"/>
      <c r="AO381" s="63">
        <v>5.8</v>
      </c>
      <c r="AP381" s="58">
        <v>1600</v>
      </c>
      <c r="AQ381" s="58">
        <v>330</v>
      </c>
      <c r="AR381" s="58">
        <v>330</v>
      </c>
      <c r="AS381" s="30">
        <v>0</v>
      </c>
      <c r="AT381" s="30">
        <v>0</v>
      </c>
      <c r="AU381" s="30">
        <v>0</v>
      </c>
      <c r="AV381" s="197">
        <v>0</v>
      </c>
      <c r="AW381" s="197">
        <v>0</v>
      </c>
      <c r="AX381" s="197">
        <v>0</v>
      </c>
      <c r="AY381" s="203"/>
      <c r="AZ381" s="203"/>
      <c r="BA381" s="203">
        <v>0</v>
      </c>
      <c r="BB381" s="191"/>
      <c r="BC381" s="191"/>
      <c r="BD381" s="190">
        <v>3</v>
      </c>
      <c r="BE381" s="40"/>
      <c r="BF381" s="187"/>
      <c r="BG381" s="183"/>
      <c r="BH381" s="183"/>
    </row>
    <row r="382" spans="1:60" ht="30" hidden="1" customHeight="1">
      <c r="A382" s="168" t="s">
        <v>135</v>
      </c>
      <c r="B382" s="119" t="s">
        <v>1828</v>
      </c>
      <c r="C382" s="119" t="s">
        <v>1442</v>
      </c>
      <c r="D382" s="119"/>
      <c r="E382" s="118" t="s">
        <v>107</v>
      </c>
      <c r="F382" s="118" t="s">
        <v>108</v>
      </c>
      <c r="G382" s="119"/>
      <c r="H382" s="119"/>
      <c r="I382" s="118"/>
      <c r="J382" s="41" t="s">
        <v>178</v>
      </c>
      <c r="K382" s="41">
        <v>1</v>
      </c>
      <c r="L382" s="41" t="s">
        <v>178</v>
      </c>
      <c r="M382" s="41">
        <v>1</v>
      </c>
      <c r="N382" s="39"/>
      <c r="O382" s="39"/>
      <c r="P382" s="5" t="s">
        <v>179</v>
      </c>
      <c r="Q382" s="41"/>
      <c r="R382" s="5" t="s">
        <v>112</v>
      </c>
      <c r="S382" s="41"/>
      <c r="T382" s="41" t="s">
        <v>801</v>
      </c>
      <c r="U382" s="41"/>
      <c r="V382" s="41"/>
      <c r="W382" s="174"/>
      <c r="X382" s="174"/>
      <c r="Y382" s="41"/>
      <c r="Z382" s="42" t="s">
        <v>116</v>
      </c>
      <c r="AA382" s="37" t="s">
        <v>699</v>
      </c>
      <c r="AB382" s="42" t="s">
        <v>118</v>
      </c>
      <c r="AC382" s="42" t="s">
        <v>119</v>
      </c>
      <c r="AD382" s="51"/>
      <c r="AE382" s="51"/>
      <c r="AF382" s="38">
        <f t="shared" ref="AF382:AF415" si="11">AG382*$AG$2+AI382*$AI$2+AK382*$AK$2+AM382*$AM$2</f>
        <v>70</v>
      </c>
      <c r="AG382" s="39">
        <v>80</v>
      </c>
      <c r="AH382" s="39"/>
      <c r="AI382" s="39">
        <v>80</v>
      </c>
      <c r="AJ382" s="39"/>
      <c r="AK382" s="39">
        <v>40</v>
      </c>
      <c r="AL382" s="39"/>
      <c r="AM382" s="39">
        <v>60</v>
      </c>
      <c r="AN382" s="39"/>
      <c r="AO382" s="63">
        <v>5.8</v>
      </c>
      <c r="AP382" s="58">
        <v>1600</v>
      </c>
      <c r="AQ382" s="58">
        <v>420</v>
      </c>
      <c r="AR382" s="58">
        <v>420</v>
      </c>
      <c r="AS382" s="30">
        <v>7308</v>
      </c>
      <c r="AT382" s="30">
        <v>9280</v>
      </c>
      <c r="AU382" s="30">
        <v>16588</v>
      </c>
      <c r="AV382" s="197">
        <v>7308</v>
      </c>
      <c r="AW382" s="197">
        <v>9280</v>
      </c>
      <c r="AX382" s="197">
        <v>16588</v>
      </c>
      <c r="AY382" s="203"/>
      <c r="AZ382" s="203"/>
      <c r="BA382" s="203">
        <v>0</v>
      </c>
      <c r="BB382" s="191" t="s">
        <v>1444</v>
      </c>
      <c r="BC382" s="191"/>
      <c r="BD382" s="192">
        <v>3</v>
      </c>
      <c r="BE382" s="40" t="s">
        <v>803</v>
      </c>
      <c r="BF382" s="187"/>
      <c r="BG382" s="183"/>
      <c r="BH382" s="183"/>
    </row>
    <row r="383" spans="1:60" ht="30" hidden="1" customHeight="1">
      <c r="A383" s="168" t="s">
        <v>1157</v>
      </c>
      <c r="B383" s="119" t="s">
        <v>1829</v>
      </c>
      <c r="C383" s="119" t="s">
        <v>1103</v>
      </c>
      <c r="D383" s="119"/>
      <c r="E383" s="118" t="s">
        <v>107</v>
      </c>
      <c r="F383" s="117" t="s">
        <v>108</v>
      </c>
      <c r="G383" s="119" t="s">
        <v>231</v>
      </c>
      <c r="H383" s="119"/>
      <c r="I383" s="118"/>
      <c r="J383" s="41" t="s">
        <v>178</v>
      </c>
      <c r="K383" s="41">
        <v>2</v>
      </c>
      <c r="L383" s="41" t="s">
        <v>178</v>
      </c>
      <c r="M383" s="41">
        <v>2</v>
      </c>
      <c r="N383" s="39"/>
      <c r="O383" s="39"/>
      <c r="P383" s="5" t="s">
        <v>179</v>
      </c>
      <c r="Q383" s="41"/>
      <c r="R383" s="5" t="s">
        <v>112</v>
      </c>
      <c r="S383" s="41">
        <v>2</v>
      </c>
      <c r="T383" s="5" t="s">
        <v>1103</v>
      </c>
      <c r="U383" s="41"/>
      <c r="V383" s="41" t="s">
        <v>115</v>
      </c>
      <c r="W383" s="174"/>
      <c r="X383" s="174"/>
      <c r="Y383" s="41"/>
      <c r="Z383" s="42" t="s">
        <v>141</v>
      </c>
      <c r="AA383" s="37" t="s">
        <v>1830</v>
      </c>
      <c r="AB383" s="42" t="s">
        <v>517</v>
      </c>
      <c r="AC383" s="42" t="s">
        <v>262</v>
      </c>
      <c r="AD383" s="51"/>
      <c r="AE383" s="51"/>
      <c r="AF383" s="38">
        <f t="shared" si="11"/>
        <v>68</v>
      </c>
      <c r="AG383" s="39">
        <v>40</v>
      </c>
      <c r="AH383" s="39"/>
      <c r="AI383" s="39">
        <v>80</v>
      </c>
      <c r="AJ383" s="39"/>
      <c r="AK383" s="39">
        <v>100</v>
      </c>
      <c r="AL383" s="39"/>
      <c r="AM383" s="39">
        <v>80</v>
      </c>
      <c r="AN383" s="39"/>
      <c r="AO383" s="63">
        <v>5.8</v>
      </c>
      <c r="AP383" s="58">
        <v>800</v>
      </c>
      <c r="AQ383" s="58">
        <f>AVERAGE(300,270)</f>
        <v>285</v>
      </c>
      <c r="AR383" s="58">
        <f>AVERAGE(300,270)</f>
        <v>285</v>
      </c>
      <c r="AS383" s="30">
        <v>13224</v>
      </c>
      <c r="AT383" s="30">
        <v>9280</v>
      </c>
      <c r="AU383" s="30">
        <v>22504</v>
      </c>
      <c r="AV383" s="197">
        <v>13224</v>
      </c>
      <c r="AW383" s="197">
        <v>9280</v>
      </c>
      <c r="AX383" s="197">
        <v>22504</v>
      </c>
      <c r="AY383" s="203"/>
      <c r="AZ383" s="203"/>
      <c r="BA383" s="203">
        <v>0</v>
      </c>
      <c r="BB383" s="191" t="s">
        <v>1831</v>
      </c>
      <c r="BC383" s="191"/>
      <c r="BD383" s="192">
        <v>2</v>
      </c>
      <c r="BE383" s="40"/>
      <c r="BF383" s="187"/>
      <c r="BG383" s="183"/>
      <c r="BH383" s="183"/>
    </row>
    <row r="384" spans="1:60" ht="30" hidden="1" customHeight="1">
      <c r="A384" s="168" t="s">
        <v>1832</v>
      </c>
      <c r="B384" s="119" t="s">
        <v>1833</v>
      </c>
      <c r="C384" s="119" t="s">
        <v>1834</v>
      </c>
      <c r="D384" s="119"/>
      <c r="E384" s="118" t="s">
        <v>107</v>
      </c>
      <c r="F384" s="118" t="s">
        <v>108</v>
      </c>
      <c r="G384" s="119"/>
      <c r="H384" s="119"/>
      <c r="I384" s="118"/>
      <c r="J384" s="41" t="s">
        <v>178</v>
      </c>
      <c r="K384" s="41">
        <v>2</v>
      </c>
      <c r="L384" s="41" t="s">
        <v>178</v>
      </c>
      <c r="M384" s="41">
        <v>2</v>
      </c>
      <c r="N384" s="39"/>
      <c r="O384" s="39"/>
      <c r="P384" s="5" t="s">
        <v>179</v>
      </c>
      <c r="Q384" s="41"/>
      <c r="R384" s="5" t="s">
        <v>112</v>
      </c>
      <c r="S384" s="41">
        <v>2</v>
      </c>
      <c r="T384" s="41" t="s">
        <v>1834</v>
      </c>
      <c r="U384" s="41"/>
      <c r="V384" s="41" t="s">
        <v>115</v>
      </c>
      <c r="W384" s="174"/>
      <c r="X384" s="174"/>
      <c r="Y384" s="41"/>
      <c r="Z384" s="42" t="s">
        <v>141</v>
      </c>
      <c r="AA384" s="42" t="s">
        <v>1830</v>
      </c>
      <c r="AB384" s="42" t="s">
        <v>517</v>
      </c>
      <c r="AC384" s="42" t="s">
        <v>262</v>
      </c>
      <c r="AD384" s="42"/>
      <c r="AE384" s="42"/>
      <c r="AF384" s="38">
        <f t="shared" si="11"/>
        <v>68</v>
      </c>
      <c r="AG384" s="39">
        <v>40</v>
      </c>
      <c r="AH384" s="39"/>
      <c r="AI384" s="39">
        <v>80</v>
      </c>
      <c r="AJ384" s="39"/>
      <c r="AK384" s="39">
        <v>100</v>
      </c>
      <c r="AL384" s="39"/>
      <c r="AM384" s="39">
        <v>80</v>
      </c>
      <c r="AN384" s="39"/>
      <c r="AO384" s="63">
        <v>5.8</v>
      </c>
      <c r="AP384" s="58">
        <v>800</v>
      </c>
      <c r="AQ384" s="58">
        <v>280</v>
      </c>
      <c r="AR384" s="58">
        <v>280</v>
      </c>
      <c r="AS384" s="30">
        <v>12992</v>
      </c>
      <c r="AT384" s="30">
        <v>9280</v>
      </c>
      <c r="AU384" s="30">
        <v>22272</v>
      </c>
      <c r="AV384" s="197">
        <v>12992</v>
      </c>
      <c r="AW384" s="197">
        <v>9280</v>
      </c>
      <c r="AX384" s="197">
        <v>22272</v>
      </c>
      <c r="AY384" s="203"/>
      <c r="AZ384" s="203"/>
      <c r="BA384" s="203">
        <v>0</v>
      </c>
      <c r="BB384" s="191" t="s">
        <v>1831</v>
      </c>
      <c r="BC384" s="191"/>
      <c r="BD384" s="192">
        <v>2</v>
      </c>
      <c r="BE384" s="40" t="s">
        <v>1835</v>
      </c>
      <c r="BF384" s="187"/>
      <c r="BG384" s="183"/>
      <c r="BH384" s="183"/>
    </row>
    <row r="385" spans="1:60" ht="30" hidden="1" customHeight="1">
      <c r="A385" s="168" t="s">
        <v>1836</v>
      </c>
      <c r="B385" s="119" t="s">
        <v>1837</v>
      </c>
      <c r="C385" s="119" t="s">
        <v>304</v>
      </c>
      <c r="D385" s="119"/>
      <c r="E385" s="118" t="s">
        <v>107</v>
      </c>
      <c r="F385" s="118" t="s">
        <v>108</v>
      </c>
      <c r="G385" s="119"/>
      <c r="H385" s="119"/>
      <c r="I385" s="118"/>
      <c r="J385" s="41" t="s">
        <v>178</v>
      </c>
      <c r="K385" s="41">
        <v>2</v>
      </c>
      <c r="L385" s="41" t="s">
        <v>178</v>
      </c>
      <c r="M385" s="41">
        <v>2</v>
      </c>
      <c r="N385" s="39"/>
      <c r="O385" s="39"/>
      <c r="P385" s="5" t="s">
        <v>179</v>
      </c>
      <c r="Q385" s="41"/>
      <c r="R385" s="5" t="s">
        <v>112</v>
      </c>
      <c r="S385" s="41">
        <v>2</v>
      </c>
      <c r="T385" s="41" t="s">
        <v>304</v>
      </c>
      <c r="U385" s="41"/>
      <c r="V385" s="41" t="s">
        <v>115</v>
      </c>
      <c r="W385" s="174"/>
      <c r="X385" s="174"/>
      <c r="Y385" s="41"/>
      <c r="Z385" s="42"/>
      <c r="AA385" s="42"/>
      <c r="AB385" s="42"/>
      <c r="AC385" s="42"/>
      <c r="AD385" s="42"/>
      <c r="AE385" s="42"/>
      <c r="AF385" s="38">
        <f t="shared" si="11"/>
        <v>68</v>
      </c>
      <c r="AG385" s="39">
        <v>40</v>
      </c>
      <c r="AH385" s="39"/>
      <c r="AI385" s="39">
        <v>80</v>
      </c>
      <c r="AJ385" s="39"/>
      <c r="AK385" s="39">
        <v>100</v>
      </c>
      <c r="AL385" s="39"/>
      <c r="AM385" s="39">
        <v>80</v>
      </c>
      <c r="AN385" s="39"/>
      <c r="AO385" s="63">
        <v>5.8</v>
      </c>
      <c r="AP385" s="58">
        <v>800</v>
      </c>
      <c r="AQ385" s="58">
        <v>200</v>
      </c>
      <c r="AR385" s="58">
        <v>200</v>
      </c>
      <c r="AS385" s="30">
        <v>9280</v>
      </c>
      <c r="AT385" s="30">
        <v>9280</v>
      </c>
      <c r="AU385" s="30">
        <v>18560</v>
      </c>
      <c r="AV385" s="197">
        <v>9280</v>
      </c>
      <c r="AW385" s="197">
        <v>9280</v>
      </c>
      <c r="AX385" s="197">
        <v>18560</v>
      </c>
      <c r="AY385" s="203"/>
      <c r="AZ385" s="203"/>
      <c r="BA385" s="203">
        <v>0</v>
      </c>
      <c r="BB385" s="191" t="s">
        <v>1831</v>
      </c>
      <c r="BC385" s="191"/>
      <c r="BD385" s="192">
        <v>2</v>
      </c>
      <c r="BE385" s="40" t="s">
        <v>1838</v>
      </c>
      <c r="BF385" s="187"/>
      <c r="BG385" s="183"/>
      <c r="BH385" s="183"/>
    </row>
    <row r="386" spans="1:60" ht="30" hidden="1" customHeight="1">
      <c r="A386" s="168" t="s">
        <v>476</v>
      </c>
      <c r="B386" s="119" t="s">
        <v>1839</v>
      </c>
      <c r="C386" s="119">
        <v>2025</v>
      </c>
      <c r="D386" s="119"/>
      <c r="E386" s="118" t="s">
        <v>107</v>
      </c>
      <c r="F386" s="118" t="s">
        <v>108</v>
      </c>
      <c r="G386" s="119"/>
      <c r="H386" s="119"/>
      <c r="I386" s="118"/>
      <c r="J386" s="41" t="s">
        <v>178</v>
      </c>
      <c r="K386" s="41">
        <v>1</v>
      </c>
      <c r="L386" s="41" t="s">
        <v>178</v>
      </c>
      <c r="M386" s="41">
        <v>1</v>
      </c>
      <c r="N386" s="39"/>
      <c r="O386" s="39"/>
      <c r="P386" s="5" t="s">
        <v>179</v>
      </c>
      <c r="Q386" s="41"/>
      <c r="R386" s="5" t="s">
        <v>112</v>
      </c>
      <c r="S386" s="41">
        <v>3</v>
      </c>
      <c r="T386" s="41" t="s">
        <v>139</v>
      </c>
      <c r="U386" s="41"/>
      <c r="V386" s="41"/>
      <c r="W386" s="174"/>
      <c r="X386" s="174"/>
      <c r="Y386" s="41"/>
      <c r="Z386" s="42" t="s">
        <v>141</v>
      </c>
      <c r="AA386" s="42" t="s">
        <v>1840</v>
      </c>
      <c r="AB386" s="42" t="s">
        <v>517</v>
      </c>
      <c r="AC386" s="42" t="s">
        <v>262</v>
      </c>
      <c r="AD386" s="42"/>
      <c r="AE386" s="42"/>
      <c r="AF386" s="38">
        <f t="shared" si="11"/>
        <v>68</v>
      </c>
      <c r="AG386" s="39">
        <v>40</v>
      </c>
      <c r="AH386" s="39"/>
      <c r="AI386" s="39">
        <v>80</v>
      </c>
      <c r="AJ386" s="39"/>
      <c r="AK386" s="39">
        <v>100</v>
      </c>
      <c r="AL386" s="39"/>
      <c r="AM386" s="39">
        <v>80</v>
      </c>
      <c r="AN386" s="39"/>
      <c r="AO386" s="63">
        <v>5.8</v>
      </c>
      <c r="AP386" s="58">
        <v>1600</v>
      </c>
      <c r="AQ386" s="58">
        <v>420</v>
      </c>
      <c r="AR386" s="58">
        <v>420</v>
      </c>
      <c r="AS386" s="30">
        <v>14616</v>
      </c>
      <c r="AT386" s="30">
        <v>9280</v>
      </c>
      <c r="AU386" s="30">
        <v>23896</v>
      </c>
      <c r="AV386" s="197">
        <v>14616</v>
      </c>
      <c r="AW386" s="197">
        <v>9280</v>
      </c>
      <c r="AX386" s="197">
        <v>23896</v>
      </c>
      <c r="AY386" s="203"/>
      <c r="AZ386" s="203"/>
      <c r="BA386" s="203">
        <v>0</v>
      </c>
      <c r="BB386" s="191" t="s">
        <v>1831</v>
      </c>
      <c r="BC386" s="191"/>
      <c r="BD386" s="192">
        <v>3</v>
      </c>
      <c r="BE386" s="40" t="s">
        <v>1838</v>
      </c>
      <c r="BF386" s="187"/>
      <c r="BG386" s="183"/>
      <c r="BH386" s="183"/>
    </row>
    <row r="387" spans="1:60" ht="30" hidden="1" customHeight="1">
      <c r="A387" s="168" t="s">
        <v>421</v>
      </c>
      <c r="B387" s="119" t="s">
        <v>1841</v>
      </c>
      <c r="C387" s="119" t="s">
        <v>1355</v>
      </c>
      <c r="D387" s="119"/>
      <c r="E387" s="118" t="s">
        <v>107</v>
      </c>
      <c r="F387" s="118" t="s">
        <v>108</v>
      </c>
      <c r="G387" s="119" t="s">
        <v>178</v>
      </c>
      <c r="H387" s="119"/>
      <c r="I387" s="118"/>
      <c r="J387" s="41" t="s">
        <v>178</v>
      </c>
      <c r="K387" s="41">
        <v>2</v>
      </c>
      <c r="L387" s="41" t="s">
        <v>178</v>
      </c>
      <c r="M387" s="41">
        <v>2</v>
      </c>
      <c r="N387" s="39"/>
      <c r="O387" s="39"/>
      <c r="P387" s="5" t="s">
        <v>179</v>
      </c>
      <c r="Q387" s="41"/>
      <c r="R387" s="5" t="s">
        <v>112</v>
      </c>
      <c r="S387" s="41">
        <v>4</v>
      </c>
      <c r="T387" s="41" t="s">
        <v>801</v>
      </c>
      <c r="U387" s="41"/>
      <c r="V387" s="41"/>
      <c r="W387" s="174"/>
      <c r="X387" s="174"/>
      <c r="Y387" s="41"/>
      <c r="Z387" s="42" t="s">
        <v>141</v>
      </c>
      <c r="AA387" s="37" t="s">
        <v>1842</v>
      </c>
      <c r="AB387" s="42" t="s">
        <v>118</v>
      </c>
      <c r="AC387" s="42" t="s">
        <v>427</v>
      </c>
      <c r="AD387" s="51"/>
      <c r="AE387" s="51"/>
      <c r="AF387" s="38">
        <f t="shared" si="11"/>
        <v>68</v>
      </c>
      <c r="AG387" s="39">
        <v>80</v>
      </c>
      <c r="AH387" s="39" t="s">
        <v>1843</v>
      </c>
      <c r="AI387" s="39">
        <v>40</v>
      </c>
      <c r="AJ387" s="39"/>
      <c r="AK387" s="39">
        <v>80</v>
      </c>
      <c r="AL387" s="39" t="s">
        <v>1278</v>
      </c>
      <c r="AM387" s="39">
        <v>80</v>
      </c>
      <c r="AN387" s="39"/>
      <c r="AO387" s="63">
        <v>5.8</v>
      </c>
      <c r="AP387" s="58">
        <v>1600</v>
      </c>
      <c r="AQ387" s="58">
        <v>370</v>
      </c>
      <c r="AR387" s="58">
        <v>370</v>
      </c>
      <c r="AS387" s="30">
        <v>30044</v>
      </c>
      <c r="AT387" s="30">
        <v>18560</v>
      </c>
      <c r="AU387" s="30">
        <v>48604</v>
      </c>
      <c r="AV387" s="197">
        <v>30044</v>
      </c>
      <c r="AW387" s="197">
        <v>18560</v>
      </c>
      <c r="AX387" s="197">
        <v>48604</v>
      </c>
      <c r="AY387" s="203"/>
      <c r="AZ387" s="203"/>
      <c r="BA387" s="203">
        <v>0</v>
      </c>
      <c r="BB387" s="191" t="s">
        <v>1844</v>
      </c>
      <c r="BC387" s="191"/>
      <c r="BD387" s="192">
        <v>3</v>
      </c>
      <c r="BE387" s="40"/>
      <c r="BF387" s="187"/>
      <c r="BG387" s="183"/>
      <c r="BH387" s="183"/>
    </row>
    <row r="388" spans="1:60" ht="30" hidden="1" customHeight="1">
      <c r="A388" s="168" t="s">
        <v>239</v>
      </c>
      <c r="B388" s="119" t="s">
        <v>1845</v>
      </c>
      <c r="C388" s="119" t="s">
        <v>1846</v>
      </c>
      <c r="D388" s="119"/>
      <c r="E388" s="118" t="s">
        <v>107</v>
      </c>
      <c r="F388" s="117" t="s">
        <v>108</v>
      </c>
      <c r="G388" s="119"/>
      <c r="H388" s="119"/>
      <c r="I388" s="118"/>
      <c r="J388" s="41" t="s">
        <v>178</v>
      </c>
      <c r="K388" s="41">
        <v>1</v>
      </c>
      <c r="L388" s="41" t="s">
        <v>178</v>
      </c>
      <c r="M388" s="41">
        <v>1</v>
      </c>
      <c r="N388" s="39"/>
      <c r="O388" s="39"/>
      <c r="P388" s="5" t="s">
        <v>179</v>
      </c>
      <c r="Q388" s="41"/>
      <c r="R388" s="5" t="s">
        <v>112</v>
      </c>
      <c r="S388" s="41">
        <v>4</v>
      </c>
      <c r="T388" s="41" t="s">
        <v>139</v>
      </c>
      <c r="U388" s="41"/>
      <c r="V388" s="41"/>
      <c r="W388" s="174"/>
      <c r="X388" s="174"/>
      <c r="Y388" s="41"/>
      <c r="Z388" s="42" t="s">
        <v>116</v>
      </c>
      <c r="AA388" s="37" t="s">
        <v>1847</v>
      </c>
      <c r="AB388" s="42" t="s">
        <v>118</v>
      </c>
      <c r="AC388" s="42" t="s">
        <v>700</v>
      </c>
      <c r="AD388" s="51"/>
      <c r="AE388" s="51"/>
      <c r="AF388" s="38">
        <f t="shared" si="11"/>
        <v>68</v>
      </c>
      <c r="AG388" s="39">
        <v>80</v>
      </c>
      <c r="AH388" s="39"/>
      <c r="AI388" s="39">
        <v>80</v>
      </c>
      <c r="AJ388" s="39" t="s">
        <v>1848</v>
      </c>
      <c r="AK388" s="39">
        <v>40</v>
      </c>
      <c r="AL388" s="39" t="s">
        <v>1008</v>
      </c>
      <c r="AM388" s="39">
        <v>40</v>
      </c>
      <c r="AN388" s="39" t="s">
        <v>146</v>
      </c>
      <c r="AO388" s="63">
        <v>5.8</v>
      </c>
      <c r="AP388" s="58">
        <v>1600</v>
      </c>
      <c r="AQ388" s="58">
        <v>370</v>
      </c>
      <c r="AR388" s="58">
        <v>370</v>
      </c>
      <c r="AS388" s="30">
        <v>15022</v>
      </c>
      <c r="AT388" s="30">
        <v>9280</v>
      </c>
      <c r="AU388" s="30">
        <v>24302</v>
      </c>
      <c r="AV388" s="197">
        <v>15022</v>
      </c>
      <c r="AW388" s="197">
        <v>9280</v>
      </c>
      <c r="AX388" s="197">
        <v>24302</v>
      </c>
      <c r="AY388" s="203"/>
      <c r="AZ388" s="203"/>
      <c r="BA388" s="203">
        <v>0</v>
      </c>
      <c r="BB388" s="191" t="s">
        <v>1009</v>
      </c>
      <c r="BC388" s="191"/>
      <c r="BD388" s="192">
        <v>3</v>
      </c>
      <c r="BE388" s="40"/>
      <c r="BF388" s="187"/>
      <c r="BG388" s="183"/>
      <c r="BH388" s="183"/>
    </row>
    <row r="389" spans="1:60" ht="30" hidden="1" customHeight="1">
      <c r="A389" s="168" t="s">
        <v>135</v>
      </c>
      <c r="B389" s="119" t="s">
        <v>1849</v>
      </c>
      <c r="C389" s="119" t="s">
        <v>1850</v>
      </c>
      <c r="D389" s="119"/>
      <c r="E389" s="118" t="s">
        <v>107</v>
      </c>
      <c r="F389" s="117" t="s">
        <v>108</v>
      </c>
      <c r="G389" s="119"/>
      <c r="H389" s="119"/>
      <c r="I389" s="118"/>
      <c r="J389" s="41" t="s">
        <v>178</v>
      </c>
      <c r="K389" s="41">
        <v>1</v>
      </c>
      <c r="L389" s="41" t="s">
        <v>178</v>
      </c>
      <c r="M389" s="41">
        <v>1</v>
      </c>
      <c r="N389" s="39"/>
      <c r="O389" s="39"/>
      <c r="P389" s="5" t="s">
        <v>179</v>
      </c>
      <c r="Q389" s="41"/>
      <c r="R389" s="5" t="s">
        <v>112</v>
      </c>
      <c r="S389" s="41">
        <v>4</v>
      </c>
      <c r="T389" s="41" t="s">
        <v>801</v>
      </c>
      <c r="U389" s="41"/>
      <c r="V389" s="41"/>
      <c r="W389" s="174"/>
      <c r="X389" s="174"/>
      <c r="Y389" s="41"/>
      <c r="Z389" s="42" t="s">
        <v>141</v>
      </c>
      <c r="AA389" s="37" t="s">
        <v>1851</v>
      </c>
      <c r="AB389" s="42" t="s">
        <v>118</v>
      </c>
      <c r="AC389" s="42" t="s">
        <v>446</v>
      </c>
      <c r="AD389" s="51"/>
      <c r="AE389" s="51"/>
      <c r="AF389" s="38">
        <f t="shared" si="11"/>
        <v>68</v>
      </c>
      <c r="AG389" s="39">
        <v>80</v>
      </c>
      <c r="AH389" s="39" t="s">
        <v>1852</v>
      </c>
      <c r="AI389" s="39">
        <v>80</v>
      </c>
      <c r="AJ389" s="39"/>
      <c r="AK389" s="39">
        <v>40</v>
      </c>
      <c r="AL389" s="39"/>
      <c r="AM389" s="39">
        <v>40</v>
      </c>
      <c r="AN389" s="39" t="s">
        <v>146</v>
      </c>
      <c r="AO389" s="63">
        <v>5.8</v>
      </c>
      <c r="AP389" s="58">
        <v>1600</v>
      </c>
      <c r="AQ389" s="58">
        <v>390</v>
      </c>
      <c r="AR389" s="58">
        <v>390</v>
      </c>
      <c r="AS389" s="30">
        <v>15834</v>
      </c>
      <c r="AT389" s="30">
        <v>9280</v>
      </c>
      <c r="AU389" s="30">
        <v>25114</v>
      </c>
      <c r="AV389" s="197">
        <v>15834</v>
      </c>
      <c r="AW389" s="197">
        <v>9280</v>
      </c>
      <c r="AX389" s="197">
        <v>25114</v>
      </c>
      <c r="AY389" s="203"/>
      <c r="AZ389" s="203"/>
      <c r="BA389" s="203">
        <v>0</v>
      </c>
      <c r="BB389" s="191" t="s">
        <v>492</v>
      </c>
      <c r="BC389" s="191"/>
      <c r="BD389" s="192">
        <v>3</v>
      </c>
      <c r="BE389" s="40"/>
      <c r="BF389" s="187"/>
      <c r="BG389" s="183"/>
      <c r="BH389" s="183"/>
    </row>
    <row r="390" spans="1:60" ht="30" hidden="1" customHeight="1">
      <c r="A390" s="168" t="s">
        <v>476</v>
      </c>
      <c r="B390" s="119" t="s">
        <v>1853</v>
      </c>
      <c r="C390" s="119"/>
      <c r="D390" s="119"/>
      <c r="E390" s="118" t="s">
        <v>107</v>
      </c>
      <c r="F390" s="118" t="s">
        <v>108</v>
      </c>
      <c r="G390" s="119"/>
      <c r="H390" s="119"/>
      <c r="I390" s="118"/>
      <c r="J390" s="41" t="s">
        <v>178</v>
      </c>
      <c r="K390" s="41">
        <v>2</v>
      </c>
      <c r="L390" s="41" t="s">
        <v>178</v>
      </c>
      <c r="M390" s="41">
        <v>2</v>
      </c>
      <c r="N390" s="39"/>
      <c r="O390" s="39"/>
      <c r="P390" s="5" t="s">
        <v>179</v>
      </c>
      <c r="Q390" s="41"/>
      <c r="R390" s="5" t="s">
        <v>112</v>
      </c>
      <c r="S390" s="41">
        <v>4</v>
      </c>
      <c r="T390" s="41" t="s">
        <v>139</v>
      </c>
      <c r="U390" s="41"/>
      <c r="V390" s="41"/>
      <c r="W390" s="174"/>
      <c r="X390" s="174"/>
      <c r="Y390" s="41"/>
      <c r="Z390" s="42" t="s">
        <v>116</v>
      </c>
      <c r="AA390" s="42" t="s">
        <v>1854</v>
      </c>
      <c r="AB390" s="42" t="s">
        <v>345</v>
      </c>
      <c r="AC390" s="42" t="s">
        <v>119</v>
      </c>
      <c r="AD390" s="42"/>
      <c r="AE390" s="42"/>
      <c r="AF390" s="38">
        <f t="shared" si="11"/>
        <v>68</v>
      </c>
      <c r="AG390" s="39">
        <v>80</v>
      </c>
      <c r="AH390" s="39"/>
      <c r="AI390" s="39">
        <v>80</v>
      </c>
      <c r="AJ390" s="39"/>
      <c r="AK390" s="39">
        <v>40</v>
      </c>
      <c r="AL390" s="39"/>
      <c r="AM390" s="39">
        <v>40</v>
      </c>
      <c r="AN390" s="39"/>
      <c r="AO390" s="63">
        <v>5.8</v>
      </c>
      <c r="AP390" s="58">
        <v>1600</v>
      </c>
      <c r="AQ390" s="58">
        <v>420</v>
      </c>
      <c r="AR390" s="58">
        <v>420</v>
      </c>
      <c r="AS390" s="30">
        <v>34104</v>
      </c>
      <c r="AT390" s="30">
        <v>18560</v>
      </c>
      <c r="AU390" s="30">
        <v>52664</v>
      </c>
      <c r="AV390" s="197">
        <v>34104</v>
      </c>
      <c r="AW390" s="197">
        <v>18560</v>
      </c>
      <c r="AX390" s="197">
        <v>52664</v>
      </c>
      <c r="AY390" s="203"/>
      <c r="AZ390" s="203"/>
      <c r="BA390" s="203">
        <v>0</v>
      </c>
      <c r="BB390" s="191"/>
      <c r="BC390" s="191"/>
      <c r="BD390" s="192">
        <v>3</v>
      </c>
      <c r="BE390" s="40" t="s">
        <v>803</v>
      </c>
      <c r="BF390" s="187"/>
      <c r="BG390" s="183"/>
      <c r="BH390" s="183"/>
    </row>
    <row r="391" spans="1:60" ht="30" hidden="1" customHeight="1">
      <c r="A391" s="168" t="s">
        <v>239</v>
      </c>
      <c r="B391" s="119" t="s">
        <v>1855</v>
      </c>
      <c r="C391" s="119" t="s">
        <v>442</v>
      </c>
      <c r="D391" s="119"/>
      <c r="E391" s="118" t="s">
        <v>107</v>
      </c>
      <c r="F391" s="117" t="s">
        <v>108</v>
      </c>
      <c r="G391" s="119"/>
      <c r="H391" s="119"/>
      <c r="I391" s="118"/>
      <c r="J391" s="41" t="s">
        <v>178</v>
      </c>
      <c r="K391" s="41">
        <v>1</v>
      </c>
      <c r="L391" s="41" t="s">
        <v>178</v>
      </c>
      <c r="M391" s="41">
        <v>1</v>
      </c>
      <c r="N391" s="39"/>
      <c r="O391" s="39"/>
      <c r="P391" s="5" t="s">
        <v>179</v>
      </c>
      <c r="Q391" s="41"/>
      <c r="R391" s="5" t="s">
        <v>112</v>
      </c>
      <c r="S391" s="41">
        <v>5</v>
      </c>
      <c r="T391" s="5" t="s">
        <v>801</v>
      </c>
      <c r="U391" s="41"/>
      <c r="V391" s="41"/>
      <c r="W391" s="174"/>
      <c r="X391" s="174"/>
      <c r="Y391" s="41"/>
      <c r="Z391" s="42" t="s">
        <v>141</v>
      </c>
      <c r="AA391" s="42" t="s">
        <v>1856</v>
      </c>
      <c r="AB391" s="42" t="s">
        <v>118</v>
      </c>
      <c r="AC391" s="42"/>
      <c r="AD391" s="42"/>
      <c r="AE391" s="42"/>
      <c r="AF391" s="38">
        <f t="shared" si="11"/>
        <v>68</v>
      </c>
      <c r="AG391" s="39">
        <v>60</v>
      </c>
      <c r="AH391" s="39" t="s">
        <v>1857</v>
      </c>
      <c r="AI391" s="39">
        <v>80</v>
      </c>
      <c r="AJ391" s="39" t="s">
        <v>1858</v>
      </c>
      <c r="AK391" s="39">
        <v>60</v>
      </c>
      <c r="AL391" s="39" t="s">
        <v>1859</v>
      </c>
      <c r="AM391" s="39">
        <v>80</v>
      </c>
      <c r="AN391" s="39" t="s">
        <v>1860</v>
      </c>
      <c r="AO391" s="63">
        <v>5.8</v>
      </c>
      <c r="AP391" s="58">
        <v>1600</v>
      </c>
      <c r="AQ391" s="58">
        <v>420</v>
      </c>
      <c r="AR391" s="58">
        <v>420</v>
      </c>
      <c r="AS391" s="30">
        <v>19488</v>
      </c>
      <c r="AT391" s="30">
        <v>9280</v>
      </c>
      <c r="AU391" s="30">
        <v>28768</v>
      </c>
      <c r="AV391" s="197">
        <v>19488</v>
      </c>
      <c r="AW391" s="197">
        <v>9280</v>
      </c>
      <c r="AX391" s="197">
        <v>28768</v>
      </c>
      <c r="AY391" s="203"/>
      <c r="AZ391" s="203"/>
      <c r="BA391" s="203">
        <v>0</v>
      </c>
      <c r="BB391" s="191" t="s">
        <v>1861</v>
      </c>
      <c r="BC391" s="191"/>
      <c r="BD391" s="192">
        <v>3</v>
      </c>
      <c r="BE391" s="40" t="s">
        <v>803</v>
      </c>
      <c r="BF391" s="187"/>
      <c r="BG391" s="183"/>
      <c r="BH391" s="183"/>
    </row>
    <row r="392" spans="1:60" ht="30" hidden="1" customHeight="1">
      <c r="A392" s="168" t="s">
        <v>1412</v>
      </c>
      <c r="B392" s="119" t="s">
        <v>1862</v>
      </c>
      <c r="C392" s="119" t="s">
        <v>442</v>
      </c>
      <c r="D392" s="119"/>
      <c r="E392" s="118" t="s">
        <v>107</v>
      </c>
      <c r="F392" s="117" t="s">
        <v>108</v>
      </c>
      <c r="G392" s="119"/>
      <c r="H392" s="119"/>
      <c r="I392" s="118"/>
      <c r="J392" s="41" t="s">
        <v>178</v>
      </c>
      <c r="K392" s="41">
        <v>1</v>
      </c>
      <c r="L392" s="41" t="s">
        <v>178</v>
      </c>
      <c r="M392" s="41">
        <v>1</v>
      </c>
      <c r="N392" s="39"/>
      <c r="O392" s="39"/>
      <c r="P392" s="5" t="s">
        <v>179</v>
      </c>
      <c r="Q392" s="41"/>
      <c r="R392" s="5" t="s">
        <v>112</v>
      </c>
      <c r="S392" s="41">
        <v>5</v>
      </c>
      <c r="T392" s="5" t="s">
        <v>139</v>
      </c>
      <c r="U392" s="41"/>
      <c r="V392" s="41"/>
      <c r="W392" s="174"/>
      <c r="X392" s="174"/>
      <c r="Y392" s="41"/>
      <c r="Z392" s="42" t="s">
        <v>141</v>
      </c>
      <c r="AA392" s="37" t="s">
        <v>1863</v>
      </c>
      <c r="AB392" s="42" t="s">
        <v>118</v>
      </c>
      <c r="AC392" s="42" t="s">
        <v>119</v>
      </c>
      <c r="AD392" s="51"/>
      <c r="AE392" s="51"/>
      <c r="AF392" s="38">
        <f t="shared" si="11"/>
        <v>68</v>
      </c>
      <c r="AG392" s="39">
        <v>80</v>
      </c>
      <c r="AH392" s="39"/>
      <c r="AI392" s="39">
        <v>80</v>
      </c>
      <c r="AJ392" s="39"/>
      <c r="AK392" s="39">
        <v>40</v>
      </c>
      <c r="AL392" s="39"/>
      <c r="AM392" s="39">
        <v>40</v>
      </c>
      <c r="AN392" s="39"/>
      <c r="AO392" s="63">
        <v>5.8</v>
      </c>
      <c r="AP392" s="58">
        <v>1600</v>
      </c>
      <c r="AQ392" s="58">
        <v>370</v>
      </c>
      <c r="AR392" s="58">
        <v>370</v>
      </c>
      <c r="AS392" s="30">
        <v>17168</v>
      </c>
      <c r="AT392" s="30">
        <v>9280</v>
      </c>
      <c r="AU392" s="30">
        <v>26448</v>
      </c>
      <c r="AV392" s="197">
        <v>17168</v>
      </c>
      <c r="AW392" s="197">
        <v>9280</v>
      </c>
      <c r="AX392" s="197">
        <v>26448</v>
      </c>
      <c r="AY392" s="203"/>
      <c r="AZ392" s="203"/>
      <c r="BA392" s="203">
        <v>0</v>
      </c>
      <c r="BB392" s="191" t="s">
        <v>1864</v>
      </c>
      <c r="BC392" s="191"/>
      <c r="BD392" s="192">
        <v>3</v>
      </c>
      <c r="BE392" s="40"/>
      <c r="BF392" s="187"/>
      <c r="BG392" s="183"/>
      <c r="BH392" s="183"/>
    </row>
    <row r="393" spans="1:60" ht="30" hidden="1" customHeight="1">
      <c r="A393" s="115" t="s">
        <v>421</v>
      </c>
      <c r="B393" s="116" t="s">
        <v>1865</v>
      </c>
      <c r="C393" s="119" t="s">
        <v>1115</v>
      </c>
      <c r="D393" s="119"/>
      <c r="E393" s="118" t="s">
        <v>107</v>
      </c>
      <c r="F393" s="117" t="s">
        <v>108</v>
      </c>
      <c r="G393" s="116" t="s">
        <v>1866</v>
      </c>
      <c r="H393" s="119"/>
      <c r="I393" s="118"/>
      <c r="J393" s="41" t="s">
        <v>178</v>
      </c>
      <c r="K393" s="5">
        <v>0</v>
      </c>
      <c r="L393" s="41" t="s">
        <v>178</v>
      </c>
      <c r="M393" s="5">
        <v>0</v>
      </c>
      <c r="N393" s="7"/>
      <c r="O393" s="7"/>
      <c r="P393" s="5" t="s">
        <v>179</v>
      </c>
      <c r="Q393" s="5"/>
      <c r="R393" s="5" t="s">
        <v>112</v>
      </c>
      <c r="S393" s="5">
        <v>4</v>
      </c>
      <c r="T393" s="5" t="s">
        <v>1160</v>
      </c>
      <c r="U393" s="41" t="s">
        <v>1867</v>
      </c>
      <c r="V393" s="5" t="s">
        <v>253</v>
      </c>
      <c r="W393" s="174"/>
      <c r="X393" s="174"/>
      <c r="Y393" s="41"/>
      <c r="Z393" s="3" t="s">
        <v>141</v>
      </c>
      <c r="AA393" s="2" t="s">
        <v>1250</v>
      </c>
      <c r="AB393" s="42" t="s">
        <v>118</v>
      </c>
      <c r="AC393" s="42" t="s">
        <v>427</v>
      </c>
      <c r="AD393" s="50"/>
      <c r="AE393" s="50"/>
      <c r="AF393" s="12">
        <f t="shared" si="11"/>
        <v>68</v>
      </c>
      <c r="AG393" s="7">
        <v>80</v>
      </c>
      <c r="AH393" s="7"/>
      <c r="AI393" s="7">
        <v>40</v>
      </c>
      <c r="AJ393" s="7"/>
      <c r="AK393" s="7">
        <v>80</v>
      </c>
      <c r="AL393" s="7"/>
      <c r="AM393" s="7">
        <v>80</v>
      </c>
      <c r="AN393" s="7"/>
      <c r="AO393" s="63">
        <v>5.8</v>
      </c>
      <c r="AP393" s="58"/>
      <c r="AQ393" s="58"/>
      <c r="AR393" s="58"/>
      <c r="AS393" s="30">
        <v>0</v>
      </c>
      <c r="AT393" s="30">
        <v>0</v>
      </c>
      <c r="AU393" s="30">
        <v>0</v>
      </c>
      <c r="AV393" s="197">
        <v>0</v>
      </c>
      <c r="AW393" s="197">
        <v>0</v>
      </c>
      <c r="AX393" s="197">
        <v>0</v>
      </c>
      <c r="AY393" s="202"/>
      <c r="AZ393" s="202"/>
      <c r="BA393" s="202">
        <v>0</v>
      </c>
      <c r="BB393" s="189"/>
      <c r="BC393" s="191"/>
      <c r="BD393" s="192">
        <v>1</v>
      </c>
      <c r="BE393" s="30"/>
      <c r="BF393" s="186"/>
      <c r="BG393" s="183"/>
      <c r="BH393" s="183"/>
    </row>
    <row r="394" spans="1:60" ht="30" hidden="1" customHeight="1">
      <c r="A394" s="115" t="s">
        <v>122</v>
      </c>
      <c r="B394" s="119" t="s">
        <v>1868</v>
      </c>
      <c r="C394" s="119" t="s">
        <v>1430</v>
      </c>
      <c r="D394" s="119" t="s">
        <v>1869</v>
      </c>
      <c r="E394" s="117" t="s">
        <v>274</v>
      </c>
      <c r="F394" s="117" t="s">
        <v>275</v>
      </c>
      <c r="G394" s="116" t="s">
        <v>1870</v>
      </c>
      <c r="H394" s="119"/>
      <c r="I394" s="118" t="s">
        <v>341</v>
      </c>
      <c r="J394" s="41" t="s">
        <v>110</v>
      </c>
      <c r="K394" s="5">
        <v>1</v>
      </c>
      <c r="L394" s="41" t="s">
        <v>178</v>
      </c>
      <c r="M394" s="5">
        <v>1</v>
      </c>
      <c r="N394" s="7" t="s">
        <v>115</v>
      </c>
      <c r="O394" s="7">
        <v>1</v>
      </c>
      <c r="P394" s="5" t="s">
        <v>179</v>
      </c>
      <c r="Q394" s="5">
        <v>1</v>
      </c>
      <c r="R394" s="5" t="s">
        <v>112</v>
      </c>
      <c r="S394" s="5">
        <v>3</v>
      </c>
      <c r="T394" s="5" t="s">
        <v>218</v>
      </c>
      <c r="U394" s="41" t="s">
        <v>219</v>
      </c>
      <c r="V394" s="5"/>
      <c r="W394" s="174">
        <v>45810</v>
      </c>
      <c r="X394" s="174">
        <v>45812</v>
      </c>
      <c r="Y394" s="41"/>
      <c r="Z394" s="42" t="s">
        <v>116</v>
      </c>
      <c r="AA394" s="37" t="s">
        <v>1871</v>
      </c>
      <c r="AB394" s="42" t="s">
        <v>118</v>
      </c>
      <c r="AC394" s="42" t="s">
        <v>1872</v>
      </c>
      <c r="AD394" s="50"/>
      <c r="AE394" s="50"/>
      <c r="AF394" s="12">
        <f t="shared" si="11"/>
        <v>68</v>
      </c>
      <c r="AG394" s="39">
        <v>80</v>
      </c>
      <c r="AH394" s="39"/>
      <c r="AI394" s="39">
        <v>40</v>
      </c>
      <c r="AJ394" s="39"/>
      <c r="AK394" s="39">
        <v>80</v>
      </c>
      <c r="AL394" s="39"/>
      <c r="AM394" s="39">
        <v>80</v>
      </c>
      <c r="AN394" s="39"/>
      <c r="AO394" s="63">
        <v>5.8</v>
      </c>
      <c r="AP394" s="58">
        <v>1600</v>
      </c>
      <c r="AQ394" s="58">
        <v>330</v>
      </c>
      <c r="AR394" s="58">
        <v>330</v>
      </c>
      <c r="AS394" s="30">
        <v>13398</v>
      </c>
      <c r="AT394" s="30">
        <v>9280</v>
      </c>
      <c r="AU394" s="30">
        <v>22678</v>
      </c>
      <c r="AV394" s="197">
        <f>13398*2</f>
        <v>26796</v>
      </c>
      <c r="AW394" s="197">
        <v>9280</v>
      </c>
      <c r="AX394" s="197">
        <f>26796+9280</f>
        <v>36076</v>
      </c>
      <c r="AY394" s="203">
        <v>14717.23</v>
      </c>
      <c r="AZ394" s="203"/>
      <c r="BA394" s="203">
        <v>14717.23</v>
      </c>
      <c r="BB394" s="191" t="s">
        <v>363</v>
      </c>
      <c r="BC394" s="191" t="s">
        <v>1232</v>
      </c>
      <c r="BD394" s="192">
        <v>3</v>
      </c>
      <c r="BE394" s="40"/>
      <c r="BF394" s="187"/>
      <c r="BG394" s="183"/>
      <c r="BH394" s="183"/>
    </row>
    <row r="395" spans="1:60" ht="30" hidden="1" customHeight="1">
      <c r="A395" s="168" t="s">
        <v>476</v>
      </c>
      <c r="B395" s="119" t="s">
        <v>642</v>
      </c>
      <c r="C395" s="119">
        <v>2025</v>
      </c>
      <c r="D395" s="119"/>
      <c r="E395" s="118" t="s">
        <v>216</v>
      </c>
      <c r="F395" s="118" t="s">
        <v>340</v>
      </c>
      <c r="G395" s="119"/>
      <c r="H395" s="119"/>
      <c r="I395" s="118"/>
      <c r="J395" s="41" t="s">
        <v>178</v>
      </c>
      <c r="K395" s="41">
        <v>3</v>
      </c>
      <c r="L395" s="41" t="s">
        <v>178</v>
      </c>
      <c r="M395" s="41">
        <v>3</v>
      </c>
      <c r="N395" s="39"/>
      <c r="O395" s="39"/>
      <c r="P395" s="5" t="s">
        <v>179</v>
      </c>
      <c r="Q395" s="41"/>
      <c r="R395" s="41" t="s">
        <v>112</v>
      </c>
      <c r="S395" s="41">
        <v>4</v>
      </c>
      <c r="T395" s="41" t="s">
        <v>139</v>
      </c>
      <c r="U395" s="41"/>
      <c r="V395" s="41"/>
      <c r="W395" s="174"/>
      <c r="X395" s="174"/>
      <c r="Y395" s="41"/>
      <c r="Z395" s="42" t="s">
        <v>313</v>
      </c>
      <c r="AA395" s="42" t="s">
        <v>1873</v>
      </c>
      <c r="AB395" s="42" t="s">
        <v>345</v>
      </c>
      <c r="AC395" s="42" t="s">
        <v>222</v>
      </c>
      <c r="AD395" s="42"/>
      <c r="AE395" s="42"/>
      <c r="AF395" s="38">
        <f t="shared" si="11"/>
        <v>68</v>
      </c>
      <c r="AG395" s="39">
        <v>60</v>
      </c>
      <c r="AH395" s="39" t="s">
        <v>1874</v>
      </c>
      <c r="AI395" s="39">
        <v>100</v>
      </c>
      <c r="AJ395" s="39"/>
      <c r="AK395" s="39">
        <v>40</v>
      </c>
      <c r="AL395" s="39"/>
      <c r="AM395" s="39">
        <v>60</v>
      </c>
      <c r="AN395" s="39"/>
      <c r="AO395" s="63">
        <v>5.8</v>
      </c>
      <c r="AP395" s="58">
        <v>1600</v>
      </c>
      <c r="AQ395" s="62">
        <f>AVERAGE(460,420,420)</f>
        <v>433.33333333333331</v>
      </c>
      <c r="AR395" s="58">
        <f>AVERAGE(460,420)</f>
        <v>440</v>
      </c>
      <c r="AS395" s="30">
        <v>52779.999999999993</v>
      </c>
      <c r="AT395" s="30">
        <v>27840</v>
      </c>
      <c r="AU395" s="30">
        <v>80620</v>
      </c>
      <c r="AV395" s="197">
        <v>53592</v>
      </c>
      <c r="AW395" s="197">
        <v>27840</v>
      </c>
      <c r="AX395" s="197">
        <v>81432</v>
      </c>
      <c r="AY395" s="203"/>
      <c r="AZ395" s="203"/>
      <c r="BA395" s="203">
        <v>0</v>
      </c>
      <c r="BB395" s="191" t="s">
        <v>1814</v>
      </c>
      <c r="BC395" s="191"/>
      <c r="BD395" s="41">
        <v>3</v>
      </c>
      <c r="BE395" s="40" t="s">
        <v>1411</v>
      </c>
      <c r="BF395" s="187"/>
      <c r="BG395" s="183"/>
      <c r="BH395" s="183"/>
    </row>
    <row r="396" spans="1:60" ht="30" hidden="1" customHeight="1">
      <c r="A396" s="168" t="s">
        <v>192</v>
      </c>
      <c r="B396" s="119" t="s">
        <v>1875</v>
      </c>
      <c r="C396" s="119" t="s">
        <v>1876</v>
      </c>
      <c r="D396" s="119"/>
      <c r="E396" s="118" t="s">
        <v>165</v>
      </c>
      <c r="F396" s="118" t="s">
        <v>166</v>
      </c>
      <c r="G396" s="119" t="s">
        <v>1875</v>
      </c>
      <c r="H396" s="119"/>
      <c r="I396" s="118"/>
      <c r="J396" s="41" t="s">
        <v>178</v>
      </c>
      <c r="K396" s="41">
        <v>2</v>
      </c>
      <c r="L396" s="41" t="s">
        <v>178</v>
      </c>
      <c r="M396" s="41">
        <v>2</v>
      </c>
      <c r="N396" s="39"/>
      <c r="O396" s="39"/>
      <c r="P396" s="5" t="s">
        <v>179</v>
      </c>
      <c r="Q396" s="41"/>
      <c r="R396" s="5" t="s">
        <v>112</v>
      </c>
      <c r="S396" s="41">
        <v>3</v>
      </c>
      <c r="T396" s="41" t="s">
        <v>1103</v>
      </c>
      <c r="U396" s="41"/>
      <c r="V396" s="41" t="s">
        <v>115</v>
      </c>
      <c r="W396" s="174"/>
      <c r="X396" s="174"/>
      <c r="Y396" s="41"/>
      <c r="Z396" s="42"/>
      <c r="AA396" s="37"/>
      <c r="AB396" s="42"/>
      <c r="AC396" s="42"/>
      <c r="AD396" s="42"/>
      <c r="AE396" s="42"/>
      <c r="AF396" s="38">
        <f t="shared" si="11"/>
        <v>68</v>
      </c>
      <c r="AG396" s="39">
        <v>40</v>
      </c>
      <c r="AH396" s="39"/>
      <c r="AI396" s="39">
        <v>80</v>
      </c>
      <c r="AJ396" s="39"/>
      <c r="AK396" s="39">
        <v>100</v>
      </c>
      <c r="AL396" s="39"/>
      <c r="AM396" s="39">
        <v>80</v>
      </c>
      <c r="AN396" s="39"/>
      <c r="AO396" s="63">
        <v>5.8</v>
      </c>
      <c r="AP396" s="58">
        <v>1600</v>
      </c>
      <c r="AQ396" s="58">
        <v>280</v>
      </c>
      <c r="AR396" s="58">
        <v>280</v>
      </c>
      <c r="AS396" s="30">
        <v>19488</v>
      </c>
      <c r="AT396" s="30">
        <v>18560</v>
      </c>
      <c r="AU396" s="30">
        <v>38048</v>
      </c>
      <c r="AV396" s="197">
        <v>19488</v>
      </c>
      <c r="AW396" s="197">
        <v>18560</v>
      </c>
      <c r="AX396" s="197">
        <v>38048</v>
      </c>
      <c r="AY396" s="203"/>
      <c r="AZ396" s="203"/>
      <c r="BA396" s="203">
        <v>0</v>
      </c>
      <c r="BB396" s="191"/>
      <c r="BC396" s="191"/>
      <c r="BD396" s="192">
        <v>3</v>
      </c>
      <c r="BE396" s="40"/>
      <c r="BF396" s="187"/>
      <c r="BG396" s="183"/>
      <c r="BH396" s="183"/>
    </row>
    <row r="397" spans="1:60" ht="30" hidden="1" customHeight="1">
      <c r="A397" s="168" t="s">
        <v>391</v>
      </c>
      <c r="B397" s="119" t="s">
        <v>1877</v>
      </c>
      <c r="C397" s="119" t="s">
        <v>1095</v>
      </c>
      <c r="D397" s="119"/>
      <c r="E397" s="118" t="s">
        <v>201</v>
      </c>
      <c r="F397" s="118" t="s">
        <v>166</v>
      </c>
      <c r="G397" s="119" t="s">
        <v>1878</v>
      </c>
      <c r="H397" s="119"/>
      <c r="I397" s="118"/>
      <c r="J397" s="41" t="s">
        <v>178</v>
      </c>
      <c r="K397" s="41">
        <v>1</v>
      </c>
      <c r="L397" s="41" t="s">
        <v>178</v>
      </c>
      <c r="M397" s="41">
        <v>1</v>
      </c>
      <c r="N397" s="39"/>
      <c r="O397" s="39"/>
      <c r="P397" s="5" t="s">
        <v>179</v>
      </c>
      <c r="Q397" s="41"/>
      <c r="R397" s="41" t="s">
        <v>112</v>
      </c>
      <c r="S397" s="41">
        <v>4</v>
      </c>
      <c r="T397" s="41" t="s">
        <v>1879</v>
      </c>
      <c r="U397" s="41"/>
      <c r="V397" s="41"/>
      <c r="W397" s="174"/>
      <c r="X397" s="174"/>
      <c r="Y397" s="41"/>
      <c r="Z397" s="42"/>
      <c r="AA397" s="37"/>
      <c r="AB397" s="42"/>
      <c r="AC397" s="42"/>
      <c r="AD397" s="51"/>
      <c r="AE397" s="51"/>
      <c r="AF397" s="38">
        <f t="shared" si="11"/>
        <v>66</v>
      </c>
      <c r="AG397" s="39">
        <v>60</v>
      </c>
      <c r="AH397" s="39"/>
      <c r="AI397" s="39">
        <v>80</v>
      </c>
      <c r="AJ397" s="39"/>
      <c r="AK397" s="39">
        <v>60</v>
      </c>
      <c r="AL397" s="39"/>
      <c r="AM397" s="39">
        <v>60</v>
      </c>
      <c r="AN397" s="39"/>
      <c r="AO397" s="63">
        <v>5.8</v>
      </c>
      <c r="AP397" s="58">
        <v>1600</v>
      </c>
      <c r="AQ397" s="58">
        <v>280</v>
      </c>
      <c r="AR397" s="58">
        <v>280</v>
      </c>
      <c r="AS397" s="30">
        <v>11368</v>
      </c>
      <c r="AT397" s="30">
        <v>9280</v>
      </c>
      <c r="AU397" s="30">
        <v>20648</v>
      </c>
      <c r="AV397" s="197">
        <v>11368</v>
      </c>
      <c r="AW397" s="197">
        <v>9280</v>
      </c>
      <c r="AX397" s="197">
        <v>20648</v>
      </c>
      <c r="AY397" s="203"/>
      <c r="AZ397" s="203"/>
      <c r="BA397" s="203">
        <v>0</v>
      </c>
      <c r="BB397" s="191" t="s">
        <v>280</v>
      </c>
      <c r="BC397" s="191"/>
      <c r="BD397" s="190">
        <v>3</v>
      </c>
      <c r="BE397" s="40"/>
      <c r="BF397" s="187"/>
      <c r="BG397" s="183"/>
      <c r="BH397" s="183"/>
    </row>
    <row r="398" spans="1:60" ht="30" hidden="1" customHeight="1">
      <c r="A398" s="168" t="s">
        <v>122</v>
      </c>
      <c r="B398" s="119" t="s">
        <v>604</v>
      </c>
      <c r="C398" s="119" t="s">
        <v>605</v>
      </c>
      <c r="D398" s="119"/>
      <c r="E398" s="118" t="s">
        <v>176</v>
      </c>
      <c r="F398" s="118" t="s">
        <v>152</v>
      </c>
      <c r="G398" s="119" t="s">
        <v>1880</v>
      </c>
      <c r="H398" s="119"/>
      <c r="I398" s="118"/>
      <c r="J398" s="41" t="s">
        <v>110</v>
      </c>
      <c r="K398" s="41">
        <v>1</v>
      </c>
      <c r="L398" s="41" t="s">
        <v>178</v>
      </c>
      <c r="M398" s="41">
        <v>1</v>
      </c>
      <c r="N398" s="39"/>
      <c r="O398" s="39"/>
      <c r="P398" s="5" t="s">
        <v>179</v>
      </c>
      <c r="Q398" s="41"/>
      <c r="R398" s="41" t="s">
        <v>112</v>
      </c>
      <c r="S398" s="41">
        <v>5</v>
      </c>
      <c r="T398" s="41" t="s">
        <v>218</v>
      </c>
      <c r="U398" s="41"/>
      <c r="V398" s="41"/>
      <c r="W398" s="174"/>
      <c r="X398" s="174"/>
      <c r="Y398" s="41"/>
      <c r="Z398" s="42" t="s">
        <v>220</v>
      </c>
      <c r="AA398" s="42" t="s">
        <v>1881</v>
      </c>
      <c r="AB398" s="42" t="s">
        <v>118</v>
      </c>
      <c r="AC398" s="42" t="s">
        <v>1882</v>
      </c>
      <c r="AD398" s="42"/>
      <c r="AE398" s="42"/>
      <c r="AF398" s="38">
        <f t="shared" si="11"/>
        <v>66</v>
      </c>
      <c r="AG398" s="39">
        <v>80</v>
      </c>
      <c r="AH398" s="39"/>
      <c r="AI398" s="39">
        <v>60</v>
      </c>
      <c r="AJ398" s="39"/>
      <c r="AK398" s="39">
        <v>40</v>
      </c>
      <c r="AL398" s="39"/>
      <c r="AM398" s="39">
        <v>80</v>
      </c>
      <c r="AN398" s="39"/>
      <c r="AO398" s="63">
        <v>5.8</v>
      </c>
      <c r="AP398" s="58">
        <v>1600</v>
      </c>
      <c r="AQ398" s="58">
        <v>320</v>
      </c>
      <c r="AR398" s="58">
        <v>320</v>
      </c>
      <c r="AS398" s="30">
        <v>14848</v>
      </c>
      <c r="AT398" s="30">
        <v>9280</v>
      </c>
      <c r="AU398" s="30">
        <v>24128</v>
      </c>
      <c r="AV398" s="197">
        <v>14848</v>
      </c>
      <c r="AW398" s="197">
        <v>9280</v>
      </c>
      <c r="AX398" s="197">
        <v>24128</v>
      </c>
      <c r="AY398" s="203"/>
      <c r="AZ398" s="203"/>
      <c r="BA398" s="203">
        <v>0</v>
      </c>
      <c r="BB398" s="191" t="s">
        <v>1769</v>
      </c>
      <c r="BC398" s="191"/>
      <c r="BD398" s="189">
        <v>3</v>
      </c>
      <c r="BE398" s="40" t="s">
        <v>182</v>
      </c>
      <c r="BF398" s="187"/>
      <c r="BG398" s="183"/>
      <c r="BH398" s="183"/>
    </row>
    <row r="399" spans="1:60" ht="30" hidden="1" customHeight="1">
      <c r="A399" s="168" t="s">
        <v>735</v>
      </c>
      <c r="B399" s="119" t="s">
        <v>1205</v>
      </c>
      <c r="C399" s="119" t="s">
        <v>737</v>
      </c>
      <c r="D399" s="119"/>
      <c r="E399" s="118" t="s">
        <v>165</v>
      </c>
      <c r="F399" s="118" t="s">
        <v>1883</v>
      </c>
      <c r="G399" s="119" t="s">
        <v>1884</v>
      </c>
      <c r="H399" s="119"/>
      <c r="I399" s="118"/>
      <c r="J399" s="41" t="s">
        <v>110</v>
      </c>
      <c r="K399" s="41">
        <v>1</v>
      </c>
      <c r="L399" s="41" t="s">
        <v>178</v>
      </c>
      <c r="M399" s="41">
        <v>1</v>
      </c>
      <c r="N399" s="39"/>
      <c r="O399" s="39"/>
      <c r="P399" s="5" t="s">
        <v>179</v>
      </c>
      <c r="Q399" s="41"/>
      <c r="R399" s="41" t="s">
        <v>112</v>
      </c>
      <c r="S399" s="41">
        <v>2</v>
      </c>
      <c r="T399" s="41" t="s">
        <v>924</v>
      </c>
      <c r="U399" s="41"/>
      <c r="V399" s="41" t="s">
        <v>115</v>
      </c>
      <c r="W399" s="174"/>
      <c r="X399" s="174"/>
      <c r="Y399" s="41"/>
      <c r="Z399" s="42" t="s">
        <v>817</v>
      </c>
      <c r="AA399" s="42" t="s">
        <v>1208</v>
      </c>
      <c r="AB399" s="42" t="s">
        <v>118</v>
      </c>
      <c r="AC399" s="42" t="s">
        <v>1885</v>
      </c>
      <c r="AD399" s="42"/>
      <c r="AE399" s="42"/>
      <c r="AF399" s="38">
        <f t="shared" si="11"/>
        <v>66</v>
      </c>
      <c r="AG399" s="39">
        <v>60</v>
      </c>
      <c r="AH399" s="39"/>
      <c r="AI399" s="39">
        <v>60</v>
      </c>
      <c r="AJ399" s="39" t="s">
        <v>1209</v>
      </c>
      <c r="AK399" s="39">
        <v>80</v>
      </c>
      <c r="AL399" s="39" t="s">
        <v>1302</v>
      </c>
      <c r="AM399" s="39">
        <v>80</v>
      </c>
      <c r="AN399" s="39"/>
      <c r="AO399" s="63">
        <v>5.8</v>
      </c>
      <c r="AP399" s="58">
        <v>800</v>
      </c>
      <c r="AQ399" s="58">
        <v>280</v>
      </c>
      <c r="AR399" s="58">
        <v>280</v>
      </c>
      <c r="AS399" s="30">
        <v>6496</v>
      </c>
      <c r="AT399" s="30">
        <v>4640</v>
      </c>
      <c r="AU399" s="30">
        <v>11136</v>
      </c>
      <c r="AV399" s="197">
        <v>6496</v>
      </c>
      <c r="AW399" s="197">
        <v>4640</v>
      </c>
      <c r="AX399" s="197">
        <v>11136</v>
      </c>
      <c r="AY399" s="203"/>
      <c r="AZ399" s="203"/>
      <c r="BA399" s="203">
        <v>0</v>
      </c>
      <c r="BB399" s="191"/>
      <c r="BC399" s="191"/>
      <c r="BD399" s="189">
        <v>2</v>
      </c>
      <c r="BE399" s="40"/>
      <c r="BF399" s="187"/>
      <c r="BG399" s="183"/>
      <c r="BH399" s="183"/>
    </row>
    <row r="400" spans="1:60" ht="30" hidden="1" customHeight="1">
      <c r="A400" s="168" t="s">
        <v>735</v>
      </c>
      <c r="B400" s="119" t="s">
        <v>1552</v>
      </c>
      <c r="C400" s="119" t="s">
        <v>737</v>
      </c>
      <c r="D400" s="119"/>
      <c r="E400" s="118" t="s">
        <v>165</v>
      </c>
      <c r="F400" s="118" t="s">
        <v>1883</v>
      </c>
      <c r="G400" s="119" t="s">
        <v>1884</v>
      </c>
      <c r="H400" s="119"/>
      <c r="I400" s="118"/>
      <c r="J400" s="41" t="s">
        <v>110</v>
      </c>
      <c r="K400" s="41">
        <v>1</v>
      </c>
      <c r="L400" s="41" t="s">
        <v>178</v>
      </c>
      <c r="M400" s="41">
        <v>1</v>
      </c>
      <c r="N400" s="39" t="s">
        <v>115</v>
      </c>
      <c r="O400" s="39">
        <v>1</v>
      </c>
      <c r="P400" s="5" t="s">
        <v>179</v>
      </c>
      <c r="Q400" s="41"/>
      <c r="R400" s="41" t="s">
        <v>112</v>
      </c>
      <c r="S400" s="41">
        <v>2</v>
      </c>
      <c r="T400" s="41" t="s">
        <v>924</v>
      </c>
      <c r="U400" s="41"/>
      <c r="V400" s="41" t="s">
        <v>115</v>
      </c>
      <c r="W400" s="175">
        <v>45992</v>
      </c>
      <c r="X400" s="175">
        <v>45992</v>
      </c>
      <c r="Y400" s="41"/>
      <c r="Z400" s="42" t="s">
        <v>817</v>
      </c>
      <c r="AA400" s="42" t="s">
        <v>1886</v>
      </c>
      <c r="AB400" s="42" t="s">
        <v>118</v>
      </c>
      <c r="AC400" s="42" t="s">
        <v>1887</v>
      </c>
      <c r="AD400" s="42"/>
      <c r="AE400" s="42"/>
      <c r="AF400" s="38">
        <f t="shared" si="11"/>
        <v>66</v>
      </c>
      <c r="AG400" s="39">
        <v>60</v>
      </c>
      <c r="AH400" s="39"/>
      <c r="AI400" s="39">
        <v>60</v>
      </c>
      <c r="AJ400" s="39" t="s">
        <v>1209</v>
      </c>
      <c r="AK400" s="39">
        <v>80</v>
      </c>
      <c r="AL400" s="39" t="s">
        <v>1302</v>
      </c>
      <c r="AM400" s="39">
        <v>80</v>
      </c>
      <c r="AN400" s="39"/>
      <c r="AO400" s="63">
        <v>5.8</v>
      </c>
      <c r="AP400" s="58">
        <v>800</v>
      </c>
      <c r="AQ400" s="58">
        <v>280</v>
      </c>
      <c r="AR400" s="58">
        <v>280</v>
      </c>
      <c r="AS400" s="30">
        <v>6496</v>
      </c>
      <c r="AT400" s="30">
        <v>4640</v>
      </c>
      <c r="AU400" s="30">
        <v>11136</v>
      </c>
      <c r="AV400" s="197">
        <v>6496</v>
      </c>
      <c r="AW400" s="197">
        <v>4640</v>
      </c>
      <c r="AX400" s="197">
        <v>11136</v>
      </c>
      <c r="AY400" s="203"/>
      <c r="AZ400" s="203"/>
      <c r="BA400" s="203">
        <v>0</v>
      </c>
      <c r="BB400" s="191"/>
      <c r="BC400" s="191"/>
      <c r="BD400" s="189">
        <v>2</v>
      </c>
      <c r="BE400" s="40"/>
      <c r="BF400" s="187"/>
      <c r="BG400" s="183"/>
      <c r="BH400" s="183"/>
    </row>
    <row r="401" spans="1:60" ht="30" hidden="1" customHeight="1">
      <c r="A401" s="168" t="s">
        <v>1888</v>
      </c>
      <c r="B401" s="119" t="s">
        <v>1592</v>
      </c>
      <c r="C401" s="119" t="s">
        <v>1593</v>
      </c>
      <c r="D401" s="119"/>
      <c r="E401" s="118" t="s">
        <v>176</v>
      </c>
      <c r="F401" s="118" t="s">
        <v>651</v>
      </c>
      <c r="G401" s="119" t="s">
        <v>1594</v>
      </c>
      <c r="H401" s="119"/>
      <c r="I401" s="118"/>
      <c r="J401" s="41" t="s">
        <v>110</v>
      </c>
      <c r="K401" s="41">
        <v>2</v>
      </c>
      <c r="L401" s="41" t="s">
        <v>178</v>
      </c>
      <c r="M401" s="41">
        <v>2</v>
      </c>
      <c r="N401" s="39"/>
      <c r="O401" s="39"/>
      <c r="P401" s="5" t="s">
        <v>179</v>
      </c>
      <c r="Q401" s="41"/>
      <c r="R401" s="41" t="s">
        <v>112</v>
      </c>
      <c r="S401" s="41">
        <v>2</v>
      </c>
      <c r="T401" s="41" t="s">
        <v>304</v>
      </c>
      <c r="U401" s="41"/>
      <c r="V401" s="41" t="s">
        <v>115</v>
      </c>
      <c r="W401" s="174"/>
      <c r="X401" s="174"/>
      <c r="Y401" s="41"/>
      <c r="Z401" s="42" t="s">
        <v>141</v>
      </c>
      <c r="AA401" s="42" t="s">
        <v>1595</v>
      </c>
      <c r="AB401" s="42" t="s">
        <v>118</v>
      </c>
      <c r="AC401" s="42" t="s">
        <v>1256</v>
      </c>
      <c r="AD401" s="42"/>
      <c r="AE401" s="42"/>
      <c r="AF401" s="38">
        <f t="shared" si="11"/>
        <v>66</v>
      </c>
      <c r="AG401" s="39">
        <v>60</v>
      </c>
      <c r="AH401" s="39"/>
      <c r="AI401" s="39">
        <v>60</v>
      </c>
      <c r="AJ401" s="39"/>
      <c r="AK401" s="39">
        <v>80</v>
      </c>
      <c r="AL401" s="39" t="s">
        <v>192</v>
      </c>
      <c r="AM401" s="39">
        <v>80</v>
      </c>
      <c r="AN401" s="39"/>
      <c r="AO401" s="63">
        <v>5.8</v>
      </c>
      <c r="AP401" s="58">
        <v>800</v>
      </c>
      <c r="AQ401" s="58">
        <f>AVERAGE(200,190)</f>
        <v>195</v>
      </c>
      <c r="AR401" s="58">
        <f>AVERAGE(200,190)</f>
        <v>195</v>
      </c>
      <c r="AS401" s="30">
        <v>9048</v>
      </c>
      <c r="AT401" s="30">
        <v>9280</v>
      </c>
      <c r="AU401" s="30">
        <v>18328</v>
      </c>
      <c r="AV401" s="197">
        <v>9048</v>
      </c>
      <c r="AW401" s="197">
        <v>9280</v>
      </c>
      <c r="AX401" s="197">
        <v>18328</v>
      </c>
      <c r="AY401" s="203"/>
      <c r="AZ401" s="203"/>
      <c r="BA401" s="203">
        <v>0</v>
      </c>
      <c r="BB401" s="191" t="s">
        <v>1889</v>
      </c>
      <c r="BC401" s="191"/>
      <c r="BD401" s="189">
        <v>2</v>
      </c>
      <c r="BE401" s="40" t="s">
        <v>1597</v>
      </c>
      <c r="BF401" s="187"/>
      <c r="BG401" s="183"/>
      <c r="BH401" s="183"/>
    </row>
    <row r="402" spans="1:60" ht="30" hidden="1" customHeight="1">
      <c r="A402" s="168" t="s">
        <v>336</v>
      </c>
      <c r="B402" s="119" t="s">
        <v>337</v>
      </c>
      <c r="C402" s="119" t="s">
        <v>1890</v>
      </c>
      <c r="D402" s="116" t="s">
        <v>338</v>
      </c>
      <c r="E402" s="118" t="s">
        <v>126</v>
      </c>
      <c r="F402" s="118" t="s">
        <v>340</v>
      </c>
      <c r="G402" s="119" t="s">
        <v>1891</v>
      </c>
      <c r="H402" s="119" t="s">
        <v>1892</v>
      </c>
      <c r="I402" s="118"/>
      <c r="J402" s="41" t="s">
        <v>178</v>
      </c>
      <c r="K402" s="41">
        <v>1</v>
      </c>
      <c r="L402" s="41" t="s">
        <v>178</v>
      </c>
      <c r="M402" s="41">
        <v>1</v>
      </c>
      <c r="N402" s="39" t="s">
        <v>115</v>
      </c>
      <c r="O402" s="39">
        <v>1</v>
      </c>
      <c r="P402" s="5" t="s">
        <v>179</v>
      </c>
      <c r="Q402" s="41"/>
      <c r="R402" s="41" t="s">
        <v>112</v>
      </c>
      <c r="S402" s="41">
        <v>3</v>
      </c>
      <c r="T402" s="41" t="s">
        <v>342</v>
      </c>
      <c r="U402" s="41" t="s">
        <v>343</v>
      </c>
      <c r="V402" s="41" t="s">
        <v>115</v>
      </c>
      <c r="W402" s="174">
        <v>45819</v>
      </c>
      <c r="X402" s="174">
        <v>45821</v>
      </c>
      <c r="Y402" s="41"/>
      <c r="Z402" s="42" t="s">
        <v>267</v>
      </c>
      <c r="AA402" s="42" t="s">
        <v>1893</v>
      </c>
      <c r="AB402" s="42" t="s">
        <v>561</v>
      </c>
      <c r="AC402" s="42"/>
      <c r="AD402" s="42"/>
      <c r="AE402" s="42"/>
      <c r="AF402" s="38">
        <f t="shared" si="11"/>
        <v>66</v>
      </c>
      <c r="AG402" s="39">
        <v>60</v>
      </c>
      <c r="AH402" s="39"/>
      <c r="AI402" s="39">
        <v>80</v>
      </c>
      <c r="AJ402" s="39"/>
      <c r="AK402" s="39">
        <v>60</v>
      </c>
      <c r="AL402" s="39"/>
      <c r="AM402" s="39">
        <v>60</v>
      </c>
      <c r="AN402" s="39"/>
      <c r="AO402" s="63">
        <v>5.8</v>
      </c>
      <c r="AP402" s="58">
        <v>1600</v>
      </c>
      <c r="AQ402" s="58">
        <v>350</v>
      </c>
      <c r="AR402" s="58">
        <v>350</v>
      </c>
      <c r="AS402" s="30">
        <v>12180</v>
      </c>
      <c r="AT402" s="30">
        <v>9280</v>
      </c>
      <c r="AU402" s="30">
        <v>21460</v>
      </c>
      <c r="AV402" s="197">
        <v>12180</v>
      </c>
      <c r="AW402" s="197">
        <v>9280</v>
      </c>
      <c r="AX402" s="197">
        <v>21460</v>
      </c>
      <c r="AY402" s="203"/>
      <c r="AZ402" s="203"/>
      <c r="BA402" s="203">
        <v>0</v>
      </c>
      <c r="BB402" s="191" t="s">
        <v>1894</v>
      </c>
      <c r="BC402" s="191"/>
      <c r="BD402" s="41">
        <v>3</v>
      </c>
      <c r="BE402" s="40"/>
      <c r="BF402" s="187"/>
      <c r="BG402" s="183"/>
      <c r="BH402" s="183"/>
    </row>
    <row r="403" spans="1:60" ht="30" hidden="1" customHeight="1">
      <c r="A403" s="168" t="s">
        <v>248</v>
      </c>
      <c r="B403" s="119" t="s">
        <v>1895</v>
      </c>
      <c r="C403" s="119" t="s">
        <v>1896</v>
      </c>
      <c r="D403" s="119"/>
      <c r="E403" s="118" t="s">
        <v>126</v>
      </c>
      <c r="F403" s="117" t="s">
        <v>127</v>
      </c>
      <c r="G403" s="119"/>
      <c r="H403" s="119"/>
      <c r="I403" s="118"/>
      <c r="J403" s="41" t="s">
        <v>178</v>
      </c>
      <c r="K403" s="41">
        <v>1</v>
      </c>
      <c r="L403" s="41" t="s">
        <v>178</v>
      </c>
      <c r="M403" s="41">
        <v>1</v>
      </c>
      <c r="N403" s="39"/>
      <c r="O403" s="39"/>
      <c r="P403" s="5" t="s">
        <v>179</v>
      </c>
      <c r="Q403" s="41"/>
      <c r="R403" s="41" t="s">
        <v>112</v>
      </c>
      <c r="S403" s="41">
        <v>5</v>
      </c>
      <c r="T403" s="41" t="s">
        <v>924</v>
      </c>
      <c r="U403" s="41"/>
      <c r="V403" s="41" t="s">
        <v>115</v>
      </c>
      <c r="W403" s="174"/>
      <c r="X403" s="174"/>
      <c r="Y403" s="41"/>
      <c r="Z403" s="42" t="s">
        <v>141</v>
      </c>
      <c r="AA403" s="42" t="s">
        <v>1897</v>
      </c>
      <c r="AB403" s="42" t="s">
        <v>345</v>
      </c>
      <c r="AC403" s="42"/>
      <c r="AD403" s="42"/>
      <c r="AE403" s="42"/>
      <c r="AF403" s="38">
        <f t="shared" si="11"/>
        <v>66</v>
      </c>
      <c r="AG403" s="39">
        <v>60</v>
      </c>
      <c r="AH403" s="39"/>
      <c r="AI403" s="39">
        <v>80</v>
      </c>
      <c r="AJ403" s="39" t="s">
        <v>758</v>
      </c>
      <c r="AK403" s="39">
        <v>60</v>
      </c>
      <c r="AL403" s="39"/>
      <c r="AM403" s="39">
        <v>60</v>
      </c>
      <c r="AN403" s="39"/>
      <c r="AO403" s="63">
        <v>5.8</v>
      </c>
      <c r="AP403" s="58">
        <v>800</v>
      </c>
      <c r="AQ403" s="58">
        <v>280</v>
      </c>
      <c r="AR403" s="58">
        <v>280</v>
      </c>
      <c r="AS403" s="30">
        <v>11368</v>
      </c>
      <c r="AT403" s="30">
        <v>4640</v>
      </c>
      <c r="AU403" s="30">
        <v>16008</v>
      </c>
      <c r="AV403" s="197">
        <v>11368</v>
      </c>
      <c r="AW403" s="197">
        <v>4640</v>
      </c>
      <c r="AX403" s="197">
        <v>16008</v>
      </c>
      <c r="AY403" s="203"/>
      <c r="AZ403" s="203"/>
      <c r="BA403" s="203">
        <v>0</v>
      </c>
      <c r="BB403" s="191" t="s">
        <v>759</v>
      </c>
      <c r="BC403" s="191"/>
      <c r="BD403" s="41">
        <v>2</v>
      </c>
      <c r="BE403" s="40"/>
      <c r="BF403" s="187"/>
      <c r="BG403" s="183"/>
      <c r="BH403" s="183"/>
    </row>
    <row r="404" spans="1:60" ht="30" hidden="1" customHeight="1">
      <c r="A404" s="168" t="s">
        <v>336</v>
      </c>
      <c r="B404" s="119" t="s">
        <v>1898</v>
      </c>
      <c r="C404" s="119" t="s">
        <v>1899</v>
      </c>
      <c r="D404" s="119"/>
      <c r="E404" s="118" t="s">
        <v>176</v>
      </c>
      <c r="F404" s="117" t="s">
        <v>651</v>
      </c>
      <c r="G404" s="119"/>
      <c r="H404" s="119"/>
      <c r="I404" s="118"/>
      <c r="J404" s="41" t="s">
        <v>178</v>
      </c>
      <c r="K404" s="41">
        <v>1</v>
      </c>
      <c r="L404" s="41" t="s">
        <v>178</v>
      </c>
      <c r="M404" s="41">
        <v>1</v>
      </c>
      <c r="N404" s="39"/>
      <c r="O404" s="39"/>
      <c r="P404" s="5" t="s">
        <v>179</v>
      </c>
      <c r="Q404" s="41"/>
      <c r="R404" s="5" t="s">
        <v>112</v>
      </c>
      <c r="S404" s="41">
        <v>5</v>
      </c>
      <c r="T404" s="41" t="s">
        <v>801</v>
      </c>
      <c r="U404" s="41"/>
      <c r="V404" s="41"/>
      <c r="W404" s="174"/>
      <c r="X404" s="174"/>
      <c r="Y404" s="41"/>
      <c r="Z404" s="42" t="s">
        <v>267</v>
      </c>
      <c r="AA404" s="42" t="s">
        <v>1900</v>
      </c>
      <c r="AB404" s="42" t="s">
        <v>345</v>
      </c>
      <c r="AC404" s="42" t="s">
        <v>683</v>
      </c>
      <c r="AD404" s="42"/>
      <c r="AE404" s="42"/>
      <c r="AF404" s="38">
        <f t="shared" si="11"/>
        <v>66</v>
      </c>
      <c r="AG404" s="39">
        <v>60</v>
      </c>
      <c r="AH404" s="39" t="s">
        <v>1901</v>
      </c>
      <c r="AI404" s="39">
        <v>80</v>
      </c>
      <c r="AJ404" s="39"/>
      <c r="AK404" s="39">
        <v>60</v>
      </c>
      <c r="AL404" s="39"/>
      <c r="AM404" s="39">
        <v>60</v>
      </c>
      <c r="AN404" s="39"/>
      <c r="AO404" s="63">
        <v>5.8</v>
      </c>
      <c r="AP404" s="58">
        <v>1600</v>
      </c>
      <c r="AQ404" s="58">
        <v>420</v>
      </c>
      <c r="AR404" s="58">
        <v>420</v>
      </c>
      <c r="AS404" s="30">
        <v>19488</v>
      </c>
      <c r="AT404" s="30">
        <v>9280</v>
      </c>
      <c r="AU404" s="30">
        <v>28768</v>
      </c>
      <c r="AV404" s="197">
        <v>19488</v>
      </c>
      <c r="AW404" s="197">
        <v>9280</v>
      </c>
      <c r="AX404" s="197">
        <v>28768</v>
      </c>
      <c r="AY404" s="203"/>
      <c r="AZ404" s="203"/>
      <c r="BA404" s="203">
        <v>0</v>
      </c>
      <c r="BB404" s="191" t="s">
        <v>1574</v>
      </c>
      <c r="BC404" s="191"/>
      <c r="BD404" s="41">
        <v>3</v>
      </c>
      <c r="BE404" s="40" t="s">
        <v>661</v>
      </c>
      <c r="BF404" s="187"/>
      <c r="BG404" s="183"/>
      <c r="BH404" s="183"/>
    </row>
    <row r="405" spans="1:60" ht="30" hidden="1" customHeight="1">
      <c r="A405" s="168" t="s">
        <v>1902</v>
      </c>
      <c r="B405" s="119" t="s">
        <v>1903</v>
      </c>
      <c r="C405" s="119" t="s">
        <v>1467</v>
      </c>
      <c r="D405" s="119"/>
      <c r="E405" s="118" t="s">
        <v>216</v>
      </c>
      <c r="F405" s="118" t="s">
        <v>217</v>
      </c>
      <c r="G405" s="119" t="s">
        <v>1904</v>
      </c>
      <c r="H405" s="119" t="s">
        <v>591</v>
      </c>
      <c r="I405" s="118"/>
      <c r="J405" s="41" t="s">
        <v>178</v>
      </c>
      <c r="K405" s="41">
        <v>1</v>
      </c>
      <c r="L405" s="41" t="s">
        <v>178</v>
      </c>
      <c r="M405" s="41">
        <v>1</v>
      </c>
      <c r="N405" s="39"/>
      <c r="O405" s="39"/>
      <c r="P405" s="5" t="s">
        <v>179</v>
      </c>
      <c r="Q405" s="41"/>
      <c r="R405" s="5" t="s">
        <v>112</v>
      </c>
      <c r="S405" s="41">
        <v>10</v>
      </c>
      <c r="T405" s="41" t="s">
        <v>207</v>
      </c>
      <c r="U405" s="41"/>
      <c r="V405" s="41"/>
      <c r="W405" s="174"/>
      <c r="X405" s="174"/>
      <c r="Y405" s="41"/>
      <c r="Z405" s="42" t="s">
        <v>220</v>
      </c>
      <c r="AA405" s="42" t="s">
        <v>1905</v>
      </c>
      <c r="AB405" s="42" t="s">
        <v>118</v>
      </c>
      <c r="AC405" s="42" t="s">
        <v>1906</v>
      </c>
      <c r="AD405" s="42"/>
      <c r="AE405" s="42"/>
      <c r="AF405" s="38">
        <f t="shared" si="11"/>
        <v>66</v>
      </c>
      <c r="AG405" s="39">
        <v>80</v>
      </c>
      <c r="AH405" s="39" t="s">
        <v>962</v>
      </c>
      <c r="AI405" s="39">
        <v>60</v>
      </c>
      <c r="AJ405" s="39" t="s">
        <v>963</v>
      </c>
      <c r="AK405" s="39">
        <v>40</v>
      </c>
      <c r="AL405" s="39" t="s">
        <v>1907</v>
      </c>
      <c r="AM405" s="39">
        <v>80</v>
      </c>
      <c r="AN405" s="39" t="s">
        <v>1907</v>
      </c>
      <c r="AO405" s="63">
        <v>5.8</v>
      </c>
      <c r="AP405" s="58">
        <v>1600</v>
      </c>
      <c r="AQ405" s="58">
        <v>420</v>
      </c>
      <c r="AR405" s="58">
        <v>420</v>
      </c>
      <c r="AS405" s="30">
        <v>31668</v>
      </c>
      <c r="AT405" s="30">
        <v>9280</v>
      </c>
      <c r="AU405" s="30">
        <v>40948</v>
      </c>
      <c r="AV405" s="197">
        <v>31668</v>
      </c>
      <c r="AW405" s="197">
        <v>9280</v>
      </c>
      <c r="AX405" s="197">
        <v>40948</v>
      </c>
      <c r="AY405" s="203"/>
      <c r="AZ405" s="203"/>
      <c r="BA405" s="203">
        <v>0</v>
      </c>
      <c r="BB405" s="191" t="s">
        <v>975</v>
      </c>
      <c r="BC405" s="191"/>
      <c r="BD405" s="41">
        <v>3</v>
      </c>
      <c r="BE405" s="40" t="s">
        <v>968</v>
      </c>
      <c r="BF405" s="187" t="s">
        <v>969</v>
      </c>
      <c r="BG405" s="183"/>
      <c r="BH405" s="183"/>
    </row>
    <row r="406" spans="1:60" ht="30" hidden="1" customHeight="1">
      <c r="A406" s="168" t="s">
        <v>1902</v>
      </c>
      <c r="B406" s="119" t="s">
        <v>1908</v>
      </c>
      <c r="C406" s="119" t="s">
        <v>105</v>
      </c>
      <c r="D406" s="119"/>
      <c r="E406" s="118" t="s">
        <v>216</v>
      </c>
      <c r="F406" s="118" t="s">
        <v>217</v>
      </c>
      <c r="G406" s="119" t="s">
        <v>1904</v>
      </c>
      <c r="H406" s="119" t="s">
        <v>591</v>
      </c>
      <c r="I406" s="118"/>
      <c r="J406" s="41" t="s">
        <v>178</v>
      </c>
      <c r="K406" s="41">
        <v>1</v>
      </c>
      <c r="L406" s="41" t="s">
        <v>178</v>
      </c>
      <c r="M406" s="41">
        <v>1</v>
      </c>
      <c r="N406" s="39"/>
      <c r="O406" s="39"/>
      <c r="P406" s="5" t="s">
        <v>179</v>
      </c>
      <c r="Q406" s="41"/>
      <c r="R406" s="41" t="s">
        <v>112</v>
      </c>
      <c r="S406" s="41">
        <v>10</v>
      </c>
      <c r="T406" s="41" t="s">
        <v>207</v>
      </c>
      <c r="U406" s="41"/>
      <c r="V406" s="41"/>
      <c r="W406" s="174"/>
      <c r="X406" s="174"/>
      <c r="Y406" s="41"/>
      <c r="Z406" s="42" t="s">
        <v>220</v>
      </c>
      <c r="AA406" s="42" t="s">
        <v>1905</v>
      </c>
      <c r="AB406" s="42" t="s">
        <v>118</v>
      </c>
      <c r="AC406" s="42" t="s">
        <v>1906</v>
      </c>
      <c r="AD406" s="42"/>
      <c r="AE406" s="42"/>
      <c r="AF406" s="38">
        <f t="shared" si="11"/>
        <v>66</v>
      </c>
      <c r="AG406" s="39">
        <v>80</v>
      </c>
      <c r="AH406" s="39" t="s">
        <v>962</v>
      </c>
      <c r="AI406" s="39">
        <v>60</v>
      </c>
      <c r="AJ406" s="39" t="s">
        <v>963</v>
      </c>
      <c r="AK406" s="39">
        <v>40</v>
      </c>
      <c r="AL406" s="39" t="s">
        <v>1907</v>
      </c>
      <c r="AM406" s="39">
        <v>80</v>
      </c>
      <c r="AN406" s="39" t="s">
        <v>1907</v>
      </c>
      <c r="AO406" s="63">
        <v>5.8</v>
      </c>
      <c r="AP406" s="58">
        <v>1600</v>
      </c>
      <c r="AQ406" s="58">
        <v>420</v>
      </c>
      <c r="AR406" s="58">
        <v>420</v>
      </c>
      <c r="AS406" s="30">
        <v>31668</v>
      </c>
      <c r="AT406" s="30">
        <v>9280</v>
      </c>
      <c r="AU406" s="30">
        <v>40948</v>
      </c>
      <c r="AV406" s="197">
        <v>31668</v>
      </c>
      <c r="AW406" s="197">
        <v>9280</v>
      </c>
      <c r="AX406" s="197">
        <v>40948</v>
      </c>
      <c r="AY406" s="203"/>
      <c r="AZ406" s="203"/>
      <c r="BA406" s="203">
        <v>0</v>
      </c>
      <c r="BB406" s="191" t="s">
        <v>975</v>
      </c>
      <c r="BC406" s="191"/>
      <c r="BD406" s="41">
        <v>3</v>
      </c>
      <c r="BE406" s="40" t="s">
        <v>968</v>
      </c>
      <c r="BF406" s="187" t="s">
        <v>969</v>
      </c>
      <c r="BG406" s="183"/>
      <c r="BH406" s="183"/>
    </row>
    <row r="407" spans="1:60" ht="30" hidden="1" customHeight="1">
      <c r="A407" s="168" t="s">
        <v>122</v>
      </c>
      <c r="B407" s="119" t="s">
        <v>1909</v>
      </c>
      <c r="C407" s="119">
        <v>2025</v>
      </c>
      <c r="D407" s="119"/>
      <c r="E407" s="118" t="s">
        <v>216</v>
      </c>
      <c r="F407" s="117" t="s">
        <v>217</v>
      </c>
      <c r="G407" s="119" t="s">
        <v>1910</v>
      </c>
      <c r="H407" s="119"/>
      <c r="I407" s="118"/>
      <c r="J407" s="41" t="s">
        <v>110</v>
      </c>
      <c r="K407" s="41">
        <v>2</v>
      </c>
      <c r="L407" s="41" t="s">
        <v>178</v>
      </c>
      <c r="M407" s="41">
        <v>1</v>
      </c>
      <c r="N407" s="39"/>
      <c r="O407" s="39"/>
      <c r="P407" s="5" t="s">
        <v>179</v>
      </c>
      <c r="Q407" s="41"/>
      <c r="R407" s="5" t="s">
        <v>112</v>
      </c>
      <c r="S407" s="41">
        <v>4</v>
      </c>
      <c r="T407" s="41" t="s">
        <v>218</v>
      </c>
      <c r="U407" s="41" t="s">
        <v>219</v>
      </c>
      <c r="V407" s="41"/>
      <c r="W407" s="174"/>
      <c r="X407" s="174"/>
      <c r="Y407" s="41"/>
      <c r="Z407" s="42" t="s">
        <v>524</v>
      </c>
      <c r="AA407" s="42" t="s">
        <v>1911</v>
      </c>
      <c r="AB407" s="42" t="s">
        <v>345</v>
      </c>
      <c r="AC407" s="42"/>
      <c r="AD407" s="42"/>
      <c r="AE407" s="42"/>
      <c r="AF407" s="12">
        <f t="shared" si="11"/>
        <v>64</v>
      </c>
      <c r="AG407" s="39">
        <v>60</v>
      </c>
      <c r="AH407" s="39"/>
      <c r="AI407" s="39">
        <v>80</v>
      </c>
      <c r="AJ407" s="39"/>
      <c r="AK407" s="39">
        <v>40</v>
      </c>
      <c r="AL407" s="39"/>
      <c r="AM407" s="39">
        <v>80</v>
      </c>
      <c r="AN407" s="39"/>
      <c r="AO407" s="63">
        <v>5.8</v>
      </c>
      <c r="AP407" s="60">
        <v>1600</v>
      </c>
      <c r="AQ407" s="58">
        <f>AVERAGE(330,320)</f>
        <v>325</v>
      </c>
      <c r="AR407" s="58">
        <v>320</v>
      </c>
      <c r="AS407" s="30">
        <v>26390</v>
      </c>
      <c r="AT407" s="30">
        <v>18560</v>
      </c>
      <c r="AU407" s="30">
        <v>44950</v>
      </c>
      <c r="AV407" s="197">
        <v>12992</v>
      </c>
      <c r="AW407" s="197">
        <v>9280</v>
      </c>
      <c r="AX407" s="197">
        <v>22272</v>
      </c>
      <c r="AY407" s="203"/>
      <c r="AZ407" s="203"/>
      <c r="BA407" s="203">
        <v>0</v>
      </c>
      <c r="BB407" s="191" t="s">
        <v>694</v>
      </c>
      <c r="BC407" s="191"/>
      <c r="BD407" s="189">
        <v>3</v>
      </c>
      <c r="BE407" s="40" t="s">
        <v>695</v>
      </c>
      <c r="BF407" s="187"/>
      <c r="BG407" s="183"/>
      <c r="BH407" s="183"/>
    </row>
    <row r="408" spans="1:60" ht="30" hidden="1" customHeight="1">
      <c r="A408" s="168" t="s">
        <v>476</v>
      </c>
      <c r="B408" s="119" t="s">
        <v>1912</v>
      </c>
      <c r="C408" s="119">
        <v>2025</v>
      </c>
      <c r="D408" s="119"/>
      <c r="E408" s="118" t="s">
        <v>107</v>
      </c>
      <c r="F408" s="117" t="s">
        <v>108</v>
      </c>
      <c r="G408" s="119"/>
      <c r="H408" s="119"/>
      <c r="I408" s="118"/>
      <c r="J408" s="41" t="s">
        <v>178</v>
      </c>
      <c r="K408" s="41">
        <v>2</v>
      </c>
      <c r="L408" s="41" t="s">
        <v>178</v>
      </c>
      <c r="M408" s="41">
        <v>2</v>
      </c>
      <c r="N408" s="39"/>
      <c r="O408" s="39"/>
      <c r="P408" s="5" t="s">
        <v>179</v>
      </c>
      <c r="Q408" s="41"/>
      <c r="R408" s="5" t="s">
        <v>112</v>
      </c>
      <c r="S408" s="41">
        <v>3</v>
      </c>
      <c r="T408" s="5" t="s">
        <v>139</v>
      </c>
      <c r="U408" s="41"/>
      <c r="V408" s="41"/>
      <c r="W408" s="174"/>
      <c r="X408" s="174"/>
      <c r="Y408" s="41"/>
      <c r="Z408" s="42"/>
      <c r="AA408" s="42"/>
      <c r="AB408" s="42"/>
      <c r="AC408" s="42"/>
      <c r="AD408" s="42"/>
      <c r="AE408" s="42"/>
      <c r="AF408" s="38">
        <f t="shared" si="11"/>
        <v>64</v>
      </c>
      <c r="AG408" s="39">
        <v>60</v>
      </c>
      <c r="AH408" s="39"/>
      <c r="AI408" s="39">
        <v>40</v>
      </c>
      <c r="AJ408" s="39"/>
      <c r="AK408" s="39">
        <v>100</v>
      </c>
      <c r="AL408" s="39"/>
      <c r="AM408" s="39">
        <v>80</v>
      </c>
      <c r="AN408" s="39"/>
      <c r="AO408" s="63">
        <v>5.8</v>
      </c>
      <c r="AP408" s="58">
        <v>1600</v>
      </c>
      <c r="AQ408" s="58">
        <v>420</v>
      </c>
      <c r="AR408" s="58">
        <v>420</v>
      </c>
      <c r="AS408" s="30">
        <v>29232</v>
      </c>
      <c r="AT408" s="30">
        <v>18560</v>
      </c>
      <c r="AU408" s="30">
        <v>47792</v>
      </c>
      <c r="AV408" s="197">
        <v>29232</v>
      </c>
      <c r="AW408" s="197">
        <v>18560</v>
      </c>
      <c r="AX408" s="197">
        <v>47792</v>
      </c>
      <c r="AY408" s="203"/>
      <c r="AZ408" s="203"/>
      <c r="BA408" s="203">
        <v>0</v>
      </c>
      <c r="BB408" s="191" t="s">
        <v>1913</v>
      </c>
      <c r="BC408" s="191"/>
      <c r="BD408" s="190">
        <v>3</v>
      </c>
      <c r="BE408" s="40" t="s">
        <v>1914</v>
      </c>
      <c r="BF408" s="187"/>
      <c r="BG408" s="183"/>
      <c r="BH408" s="183"/>
    </row>
    <row r="409" spans="1:60" ht="30" hidden="1" customHeight="1">
      <c r="A409" s="168" t="s">
        <v>1282</v>
      </c>
      <c r="B409" s="116" t="s">
        <v>1915</v>
      </c>
      <c r="C409" s="119">
        <v>2025</v>
      </c>
      <c r="D409" s="119"/>
      <c r="E409" s="118" t="s">
        <v>107</v>
      </c>
      <c r="F409" s="118" t="s">
        <v>108</v>
      </c>
      <c r="G409" s="119" t="s">
        <v>178</v>
      </c>
      <c r="H409" s="119"/>
      <c r="I409" s="118"/>
      <c r="J409" s="41" t="s">
        <v>178</v>
      </c>
      <c r="K409" s="41">
        <v>2</v>
      </c>
      <c r="L409" s="41" t="s">
        <v>178</v>
      </c>
      <c r="M409" s="41">
        <v>1</v>
      </c>
      <c r="N409" s="39"/>
      <c r="O409" s="39"/>
      <c r="P409" s="5" t="s">
        <v>179</v>
      </c>
      <c r="Q409" s="41"/>
      <c r="R409" s="5" t="s">
        <v>112</v>
      </c>
      <c r="S409" s="41">
        <v>5</v>
      </c>
      <c r="T409" s="41" t="s">
        <v>801</v>
      </c>
      <c r="U409" s="41"/>
      <c r="V409" s="41"/>
      <c r="W409" s="174"/>
      <c r="X409" s="174"/>
      <c r="Y409" s="41"/>
      <c r="Z409" s="42" t="s">
        <v>116</v>
      </c>
      <c r="AA409" s="37" t="s">
        <v>1285</v>
      </c>
      <c r="AB409" s="42" t="s">
        <v>118</v>
      </c>
      <c r="AC409" s="42" t="s">
        <v>446</v>
      </c>
      <c r="AD409" s="51"/>
      <c r="AE409" s="51"/>
      <c r="AF409" s="38">
        <f t="shared" si="11"/>
        <v>64</v>
      </c>
      <c r="AG409" s="39">
        <v>60</v>
      </c>
      <c r="AH409" s="39"/>
      <c r="AI409" s="39">
        <v>80</v>
      </c>
      <c r="AJ409" s="39" t="s">
        <v>1630</v>
      </c>
      <c r="AK409" s="39">
        <v>40</v>
      </c>
      <c r="AL409" s="39"/>
      <c r="AM409" s="39">
        <v>80</v>
      </c>
      <c r="AN409" s="39" t="s">
        <v>1631</v>
      </c>
      <c r="AO409" s="63">
        <v>5.8</v>
      </c>
      <c r="AP409" s="58">
        <v>1600</v>
      </c>
      <c r="AQ409" s="58">
        <f>AVERAGE(460,420)</f>
        <v>440</v>
      </c>
      <c r="AR409" s="58">
        <f>AVERAGE(460,420)</f>
        <v>440</v>
      </c>
      <c r="AS409" s="30">
        <v>40832</v>
      </c>
      <c r="AT409" s="30">
        <v>18560</v>
      </c>
      <c r="AU409" s="30">
        <v>59392</v>
      </c>
      <c r="AV409" s="197">
        <v>20416</v>
      </c>
      <c r="AW409" s="197">
        <v>9280</v>
      </c>
      <c r="AX409" s="197">
        <v>29696</v>
      </c>
      <c r="AY409" s="203"/>
      <c r="AZ409" s="203"/>
      <c r="BA409" s="203">
        <v>0</v>
      </c>
      <c r="BB409" s="191" t="s">
        <v>870</v>
      </c>
      <c r="BC409" s="191"/>
      <c r="BD409" s="192">
        <v>3</v>
      </c>
      <c r="BE409" s="40"/>
      <c r="BF409" s="187"/>
      <c r="BG409" s="183"/>
      <c r="BH409" s="183"/>
    </row>
    <row r="410" spans="1:60" ht="30" hidden="1" customHeight="1">
      <c r="A410" s="168" t="s">
        <v>103</v>
      </c>
      <c r="B410" s="119" t="s">
        <v>1916</v>
      </c>
      <c r="C410" s="119" t="s">
        <v>1802</v>
      </c>
      <c r="D410" s="119"/>
      <c r="E410" s="118" t="s">
        <v>107</v>
      </c>
      <c r="F410" s="118" t="s">
        <v>108</v>
      </c>
      <c r="G410" s="119"/>
      <c r="H410" s="119"/>
      <c r="I410" s="118"/>
      <c r="J410" s="41" t="s">
        <v>178</v>
      </c>
      <c r="K410" s="41">
        <v>1</v>
      </c>
      <c r="L410" s="41" t="s">
        <v>178</v>
      </c>
      <c r="M410" s="41">
        <v>1</v>
      </c>
      <c r="N410" s="39"/>
      <c r="O410" s="39"/>
      <c r="P410" s="5" t="s">
        <v>179</v>
      </c>
      <c r="Q410" s="41"/>
      <c r="R410" s="5" t="s">
        <v>112</v>
      </c>
      <c r="S410" s="41">
        <v>3</v>
      </c>
      <c r="T410" s="41" t="s">
        <v>801</v>
      </c>
      <c r="U410" s="41"/>
      <c r="V410" s="41"/>
      <c r="W410" s="174"/>
      <c r="X410" s="174"/>
      <c r="Y410" s="41"/>
      <c r="Z410" s="42" t="s">
        <v>116</v>
      </c>
      <c r="AA410" s="42" t="s">
        <v>117</v>
      </c>
      <c r="AB410" s="42" t="s">
        <v>118</v>
      </c>
      <c r="AC410" s="42" t="s">
        <v>119</v>
      </c>
      <c r="AD410" s="42"/>
      <c r="AE410" s="42"/>
      <c r="AF410" s="38">
        <f t="shared" si="11"/>
        <v>64</v>
      </c>
      <c r="AG410" s="39">
        <v>80</v>
      </c>
      <c r="AH410" s="39"/>
      <c r="AI410" s="39">
        <v>40</v>
      </c>
      <c r="AJ410" s="39"/>
      <c r="AK410" s="39">
        <v>60</v>
      </c>
      <c r="AL410" s="39"/>
      <c r="AM410" s="39">
        <v>80</v>
      </c>
      <c r="AN410" s="39"/>
      <c r="AO410" s="63">
        <v>5.8</v>
      </c>
      <c r="AP410" s="58">
        <v>1600</v>
      </c>
      <c r="AQ410" s="58">
        <v>420</v>
      </c>
      <c r="AR410" s="58">
        <v>420</v>
      </c>
      <c r="AS410" s="30">
        <v>14616</v>
      </c>
      <c r="AT410" s="30">
        <v>9280</v>
      </c>
      <c r="AU410" s="30">
        <v>23896</v>
      </c>
      <c r="AV410" s="197">
        <v>14616</v>
      </c>
      <c r="AW410" s="197">
        <v>9280</v>
      </c>
      <c r="AX410" s="197">
        <v>23896</v>
      </c>
      <c r="AY410" s="203"/>
      <c r="AZ410" s="203"/>
      <c r="BA410" s="203">
        <v>0</v>
      </c>
      <c r="BB410" s="191" t="s">
        <v>120</v>
      </c>
      <c r="BC410" s="191"/>
      <c r="BD410" s="192">
        <v>3</v>
      </c>
      <c r="BE410" s="40" t="s">
        <v>803</v>
      </c>
      <c r="BF410" s="187"/>
      <c r="BG410" s="183"/>
      <c r="BH410" s="183"/>
    </row>
    <row r="411" spans="1:60" ht="30" hidden="1" customHeight="1">
      <c r="A411" s="168" t="s">
        <v>122</v>
      </c>
      <c r="B411" s="119" t="s">
        <v>1917</v>
      </c>
      <c r="C411" s="119" t="s">
        <v>175</v>
      </c>
      <c r="D411" s="119"/>
      <c r="E411" s="118" t="s">
        <v>176</v>
      </c>
      <c r="F411" s="117" t="s">
        <v>152</v>
      </c>
      <c r="G411" s="119" t="s">
        <v>1918</v>
      </c>
      <c r="H411" s="119"/>
      <c r="I411" s="118"/>
      <c r="J411" s="41" t="s">
        <v>110</v>
      </c>
      <c r="K411" s="41">
        <v>1</v>
      </c>
      <c r="L411" s="41" t="s">
        <v>178</v>
      </c>
      <c r="M411" s="41">
        <v>1</v>
      </c>
      <c r="N411" s="39"/>
      <c r="O411" s="39"/>
      <c r="P411" s="5" t="s">
        <v>179</v>
      </c>
      <c r="Q411" s="41"/>
      <c r="R411" s="5" t="s">
        <v>112</v>
      </c>
      <c r="S411" s="41">
        <v>5</v>
      </c>
      <c r="T411" s="5" t="s">
        <v>1919</v>
      </c>
      <c r="U411" s="41"/>
      <c r="V411" s="41"/>
      <c r="W411" s="174"/>
      <c r="X411" s="174"/>
      <c r="Y411" s="41"/>
      <c r="Z411" s="42" t="s">
        <v>116</v>
      </c>
      <c r="AA411" s="42" t="s">
        <v>1920</v>
      </c>
      <c r="AB411" s="42" t="s">
        <v>118</v>
      </c>
      <c r="AC411" s="42"/>
      <c r="AD411" s="42"/>
      <c r="AE411" s="42"/>
      <c r="AF411" s="38">
        <f t="shared" si="11"/>
        <v>64</v>
      </c>
      <c r="AG411" s="39">
        <v>60</v>
      </c>
      <c r="AH411" s="39" t="s">
        <v>1921</v>
      </c>
      <c r="AI411" s="39">
        <v>80</v>
      </c>
      <c r="AJ411" s="39" t="s">
        <v>1922</v>
      </c>
      <c r="AK411" s="39">
        <v>40</v>
      </c>
      <c r="AL411" s="39"/>
      <c r="AM411" s="39">
        <v>80</v>
      </c>
      <c r="AN411" s="39"/>
      <c r="AO411" s="63">
        <v>5.8</v>
      </c>
      <c r="AP411" s="58">
        <v>1600</v>
      </c>
      <c r="AQ411" s="58">
        <v>370</v>
      </c>
      <c r="AR411" s="58">
        <v>370</v>
      </c>
      <c r="AS411" s="30">
        <v>17168</v>
      </c>
      <c r="AT411" s="30">
        <v>9280</v>
      </c>
      <c r="AU411" s="30">
        <v>26448</v>
      </c>
      <c r="AV411" s="197">
        <v>17168</v>
      </c>
      <c r="AW411" s="197">
        <v>9280</v>
      </c>
      <c r="AX411" s="197">
        <v>26448</v>
      </c>
      <c r="AY411" s="203"/>
      <c r="AZ411" s="203"/>
      <c r="BA411" s="203">
        <v>0</v>
      </c>
      <c r="BB411" s="191" t="s">
        <v>1456</v>
      </c>
      <c r="BC411" s="191"/>
      <c r="BD411" s="41">
        <v>3</v>
      </c>
      <c r="BE411" s="40" t="s">
        <v>182</v>
      </c>
      <c r="BF411" s="187"/>
      <c r="BG411" s="183"/>
      <c r="BH411" s="183"/>
    </row>
    <row r="412" spans="1:60" ht="30" hidden="1" customHeight="1">
      <c r="A412" s="115" t="s">
        <v>122</v>
      </c>
      <c r="B412" s="116" t="s">
        <v>1923</v>
      </c>
      <c r="C412" s="116" t="s">
        <v>786</v>
      </c>
      <c r="D412" s="119"/>
      <c r="E412" s="117" t="s">
        <v>176</v>
      </c>
      <c r="F412" s="117" t="s">
        <v>152</v>
      </c>
      <c r="G412" s="116" t="s">
        <v>1924</v>
      </c>
      <c r="H412" s="119"/>
      <c r="I412" s="118"/>
      <c r="J412" s="41" t="s">
        <v>110</v>
      </c>
      <c r="K412" s="5">
        <v>1</v>
      </c>
      <c r="L412" s="41" t="s">
        <v>178</v>
      </c>
      <c r="M412" s="41">
        <v>1</v>
      </c>
      <c r="N412" s="39"/>
      <c r="O412" s="39"/>
      <c r="P412" s="5" t="s">
        <v>179</v>
      </c>
      <c r="Q412" s="41"/>
      <c r="R412" s="5" t="s">
        <v>112</v>
      </c>
      <c r="S412" s="5">
        <v>5</v>
      </c>
      <c r="T412" s="5" t="s">
        <v>260</v>
      </c>
      <c r="U412" s="41"/>
      <c r="V412" s="5"/>
      <c r="W412" s="174"/>
      <c r="X412" s="174"/>
      <c r="Y412" s="41"/>
      <c r="Z412" s="3" t="s">
        <v>116</v>
      </c>
      <c r="AA412" s="3" t="s">
        <v>1920</v>
      </c>
      <c r="AB412" s="3" t="s">
        <v>118</v>
      </c>
      <c r="AC412" s="3"/>
      <c r="AD412" s="3"/>
      <c r="AE412" s="3"/>
      <c r="AF412" s="12">
        <f t="shared" si="11"/>
        <v>64</v>
      </c>
      <c r="AG412" s="7">
        <v>60</v>
      </c>
      <c r="AH412" s="7" t="s">
        <v>1921</v>
      </c>
      <c r="AI412" s="7">
        <v>80</v>
      </c>
      <c r="AJ412" s="7" t="s">
        <v>1922</v>
      </c>
      <c r="AK412" s="7">
        <v>40</v>
      </c>
      <c r="AL412" s="7"/>
      <c r="AM412" s="7">
        <v>80</v>
      </c>
      <c r="AN412" s="7"/>
      <c r="AO412" s="63">
        <v>5.8</v>
      </c>
      <c r="AP412" s="58">
        <v>1600</v>
      </c>
      <c r="AQ412" s="58">
        <v>310</v>
      </c>
      <c r="AR412" s="58">
        <v>310</v>
      </c>
      <c r="AS412" s="30">
        <v>14384</v>
      </c>
      <c r="AT412" s="30">
        <v>9280</v>
      </c>
      <c r="AU412" s="30">
        <v>23664</v>
      </c>
      <c r="AV412" s="199">
        <v>14384</v>
      </c>
      <c r="AW412" s="199">
        <v>9280</v>
      </c>
      <c r="AX412" s="199">
        <v>23664</v>
      </c>
      <c r="AY412" s="203"/>
      <c r="AZ412" s="203"/>
      <c r="BA412" s="203">
        <v>0</v>
      </c>
      <c r="BB412" s="189" t="s">
        <v>1456</v>
      </c>
      <c r="BC412" s="191"/>
      <c r="BD412" s="41">
        <v>3</v>
      </c>
      <c r="BE412" s="30" t="s">
        <v>182</v>
      </c>
      <c r="BF412" s="186"/>
      <c r="BG412" s="183"/>
      <c r="BH412" s="183"/>
    </row>
    <row r="413" spans="1:60" ht="30" hidden="1" customHeight="1">
      <c r="A413" s="168" t="s">
        <v>1412</v>
      </c>
      <c r="B413" s="119" t="s">
        <v>1925</v>
      </c>
      <c r="C413" s="119" t="s">
        <v>1926</v>
      </c>
      <c r="D413" s="119"/>
      <c r="E413" s="118" t="s">
        <v>107</v>
      </c>
      <c r="F413" s="117" t="s">
        <v>108</v>
      </c>
      <c r="G413" s="119"/>
      <c r="H413" s="119"/>
      <c r="I413" s="118"/>
      <c r="J413" s="41" t="s">
        <v>178</v>
      </c>
      <c r="K413" s="41">
        <v>1</v>
      </c>
      <c r="L413" s="41" t="s">
        <v>178</v>
      </c>
      <c r="M413" s="41">
        <v>1</v>
      </c>
      <c r="N413" s="39"/>
      <c r="O413" s="39"/>
      <c r="P413" s="5" t="s">
        <v>179</v>
      </c>
      <c r="Q413" s="41"/>
      <c r="R413" s="5" t="s">
        <v>112</v>
      </c>
      <c r="S413" s="41">
        <v>4</v>
      </c>
      <c r="T413" s="41" t="s">
        <v>139</v>
      </c>
      <c r="U413" s="41"/>
      <c r="V413" s="41"/>
      <c r="W413" s="174"/>
      <c r="X413" s="174"/>
      <c r="Y413" s="41"/>
      <c r="Z413" s="42" t="s">
        <v>141</v>
      </c>
      <c r="AA413" s="37" t="s">
        <v>1927</v>
      </c>
      <c r="AB413" s="42" t="s">
        <v>345</v>
      </c>
      <c r="AC413" s="42" t="s">
        <v>119</v>
      </c>
      <c r="AD413" s="51"/>
      <c r="AE413" s="51"/>
      <c r="AF413" s="38">
        <f t="shared" si="11"/>
        <v>64</v>
      </c>
      <c r="AG413" s="39">
        <v>80</v>
      </c>
      <c r="AH413" s="39"/>
      <c r="AI413" s="39">
        <v>40</v>
      </c>
      <c r="AJ413" s="39"/>
      <c r="AK413" s="39">
        <v>60</v>
      </c>
      <c r="AL413" s="39"/>
      <c r="AM413" s="39">
        <v>80</v>
      </c>
      <c r="AN413" s="39"/>
      <c r="AO413" s="63">
        <v>5.8</v>
      </c>
      <c r="AP413" s="58">
        <v>1600</v>
      </c>
      <c r="AQ413" s="58">
        <v>370</v>
      </c>
      <c r="AR413" s="58">
        <v>370</v>
      </c>
      <c r="AS413" s="30">
        <v>15022</v>
      </c>
      <c r="AT413" s="30">
        <v>9280</v>
      </c>
      <c r="AU413" s="30">
        <v>24302</v>
      </c>
      <c r="AV413" s="197">
        <v>15022</v>
      </c>
      <c r="AW413" s="197">
        <v>9280</v>
      </c>
      <c r="AX413" s="197">
        <v>24302</v>
      </c>
      <c r="AY413" s="203"/>
      <c r="AZ413" s="203"/>
      <c r="BA413" s="203">
        <v>0</v>
      </c>
      <c r="BB413" s="191" t="s">
        <v>486</v>
      </c>
      <c r="BC413" s="191"/>
      <c r="BD413" s="192">
        <v>3</v>
      </c>
      <c r="BE413" s="40"/>
      <c r="BF413" s="187"/>
      <c r="BG413" s="183"/>
      <c r="BH413" s="183"/>
    </row>
    <row r="414" spans="1:60" ht="30" hidden="1" customHeight="1">
      <c r="A414" s="168" t="s">
        <v>1412</v>
      </c>
      <c r="B414" s="119" t="s">
        <v>1928</v>
      </c>
      <c r="C414" s="119" t="s">
        <v>1929</v>
      </c>
      <c r="D414" s="119"/>
      <c r="E414" s="118" t="s">
        <v>107</v>
      </c>
      <c r="F414" s="117" t="s">
        <v>108</v>
      </c>
      <c r="G414" s="119"/>
      <c r="H414" s="119"/>
      <c r="I414" s="118"/>
      <c r="J414" s="41" t="s">
        <v>178</v>
      </c>
      <c r="K414" s="41">
        <v>1</v>
      </c>
      <c r="L414" s="41" t="s">
        <v>178</v>
      </c>
      <c r="M414" s="41">
        <v>1</v>
      </c>
      <c r="N414" s="39"/>
      <c r="O414" s="39"/>
      <c r="P414" s="5" t="s">
        <v>179</v>
      </c>
      <c r="Q414" s="41"/>
      <c r="R414" s="5" t="s">
        <v>112</v>
      </c>
      <c r="S414" s="41">
        <v>4</v>
      </c>
      <c r="T414" s="5" t="s">
        <v>801</v>
      </c>
      <c r="U414" s="41"/>
      <c r="V414" s="41"/>
      <c r="W414" s="174"/>
      <c r="X414" s="174"/>
      <c r="Y414" s="41"/>
      <c r="Z414" s="42" t="s">
        <v>141</v>
      </c>
      <c r="AA414" s="42" t="s">
        <v>1927</v>
      </c>
      <c r="AB414" s="42" t="s">
        <v>345</v>
      </c>
      <c r="AC414" s="42" t="s">
        <v>119</v>
      </c>
      <c r="AD414" s="42"/>
      <c r="AE414" s="42"/>
      <c r="AF414" s="38">
        <f t="shared" si="11"/>
        <v>64</v>
      </c>
      <c r="AG414" s="39">
        <v>80</v>
      </c>
      <c r="AH414" s="39"/>
      <c r="AI414" s="39">
        <v>40</v>
      </c>
      <c r="AJ414" s="39"/>
      <c r="AK414" s="39">
        <v>60</v>
      </c>
      <c r="AL414" s="39"/>
      <c r="AM414" s="39">
        <v>80</v>
      </c>
      <c r="AN414" s="39"/>
      <c r="AO414" s="63">
        <v>5.8</v>
      </c>
      <c r="AP414" s="58">
        <v>1600</v>
      </c>
      <c r="AQ414" s="58">
        <v>420</v>
      </c>
      <c r="AR414" s="58">
        <v>420</v>
      </c>
      <c r="AS414" s="30">
        <v>17052</v>
      </c>
      <c r="AT414" s="30">
        <v>9280</v>
      </c>
      <c r="AU414" s="30">
        <v>26332</v>
      </c>
      <c r="AV414" s="197">
        <v>17052</v>
      </c>
      <c r="AW414" s="197">
        <v>9280</v>
      </c>
      <c r="AX414" s="197">
        <v>26332</v>
      </c>
      <c r="AY414" s="203"/>
      <c r="AZ414" s="203"/>
      <c r="BA414" s="203">
        <v>0</v>
      </c>
      <c r="BB414" s="191" t="s">
        <v>486</v>
      </c>
      <c r="BC414" s="191"/>
      <c r="BD414" s="192">
        <v>3</v>
      </c>
      <c r="BE414" s="40" t="s">
        <v>803</v>
      </c>
      <c r="BF414" s="187"/>
      <c r="BG414" s="183"/>
      <c r="BH414" s="183"/>
    </row>
    <row r="415" spans="1:60" ht="30" hidden="1" customHeight="1">
      <c r="A415" s="168" t="s">
        <v>1412</v>
      </c>
      <c r="B415" s="119" t="s">
        <v>1930</v>
      </c>
      <c r="C415" s="119" t="s">
        <v>1929</v>
      </c>
      <c r="D415" s="119"/>
      <c r="E415" s="118" t="s">
        <v>107</v>
      </c>
      <c r="F415" s="117" t="s">
        <v>108</v>
      </c>
      <c r="G415" s="119"/>
      <c r="H415" s="119"/>
      <c r="I415" s="118"/>
      <c r="J415" s="41" t="s">
        <v>178</v>
      </c>
      <c r="K415" s="41">
        <v>1</v>
      </c>
      <c r="L415" s="41" t="s">
        <v>178</v>
      </c>
      <c r="M415" s="41">
        <v>1</v>
      </c>
      <c r="N415" s="39"/>
      <c r="O415" s="39"/>
      <c r="P415" s="5" t="s">
        <v>179</v>
      </c>
      <c r="Q415" s="41"/>
      <c r="R415" s="5" t="s">
        <v>112</v>
      </c>
      <c r="S415" s="41">
        <v>4</v>
      </c>
      <c r="T415" s="5" t="s">
        <v>801</v>
      </c>
      <c r="U415" s="41"/>
      <c r="V415" s="41"/>
      <c r="W415" s="174"/>
      <c r="X415" s="174"/>
      <c r="Y415" s="41"/>
      <c r="Z415" s="42" t="s">
        <v>141</v>
      </c>
      <c r="AA415" s="42" t="s">
        <v>1927</v>
      </c>
      <c r="AB415" s="42" t="s">
        <v>345</v>
      </c>
      <c r="AC415" s="42" t="s">
        <v>119</v>
      </c>
      <c r="AD415" s="42"/>
      <c r="AE415" s="42"/>
      <c r="AF415" s="38">
        <f t="shared" si="11"/>
        <v>64</v>
      </c>
      <c r="AG415" s="39">
        <v>80</v>
      </c>
      <c r="AH415" s="39"/>
      <c r="AI415" s="39">
        <v>40</v>
      </c>
      <c r="AJ415" s="39"/>
      <c r="AK415" s="39">
        <v>60</v>
      </c>
      <c r="AL415" s="39"/>
      <c r="AM415" s="39">
        <v>80</v>
      </c>
      <c r="AN415" s="39"/>
      <c r="AO415" s="63">
        <v>5.8</v>
      </c>
      <c r="AP415" s="58">
        <v>1600</v>
      </c>
      <c r="AQ415" s="58">
        <v>420</v>
      </c>
      <c r="AR415" s="58">
        <v>420</v>
      </c>
      <c r="AS415" s="30">
        <v>17052</v>
      </c>
      <c r="AT415" s="30">
        <v>9280</v>
      </c>
      <c r="AU415" s="30">
        <v>26332</v>
      </c>
      <c r="AV415" s="197">
        <v>17052</v>
      </c>
      <c r="AW415" s="197">
        <v>9280</v>
      </c>
      <c r="AX415" s="197">
        <v>26332</v>
      </c>
      <c r="AY415" s="203"/>
      <c r="AZ415" s="203"/>
      <c r="BA415" s="203">
        <v>0</v>
      </c>
      <c r="BB415" s="191" t="s">
        <v>486</v>
      </c>
      <c r="BC415" s="191"/>
      <c r="BD415" s="192">
        <v>3</v>
      </c>
      <c r="BE415" s="40" t="s">
        <v>803</v>
      </c>
      <c r="BF415" s="187"/>
      <c r="BG415" s="183"/>
      <c r="BH415" s="183"/>
    </row>
    <row r="416" spans="1:60" ht="30" hidden="1" customHeight="1">
      <c r="A416" s="168" t="s">
        <v>723</v>
      </c>
      <c r="B416" s="119" t="s">
        <v>724</v>
      </c>
      <c r="C416" s="119" t="s">
        <v>1931</v>
      </c>
      <c r="D416" s="119"/>
      <c r="E416" s="118" t="s">
        <v>1505</v>
      </c>
      <c r="F416" s="118" t="s">
        <v>340</v>
      </c>
      <c r="G416" s="119"/>
      <c r="H416" s="119"/>
      <c r="I416" s="118"/>
      <c r="J416" s="41" t="s">
        <v>110</v>
      </c>
      <c r="K416" s="41">
        <v>3</v>
      </c>
      <c r="L416" s="41" t="s">
        <v>178</v>
      </c>
      <c r="M416" s="41">
        <v>1</v>
      </c>
      <c r="N416" s="39"/>
      <c r="O416" s="39"/>
      <c r="P416" s="5" t="s">
        <v>179</v>
      </c>
      <c r="Q416" s="41"/>
      <c r="R416" s="5" t="s">
        <v>112</v>
      </c>
      <c r="S416" s="41">
        <v>3</v>
      </c>
      <c r="T416" s="41" t="s">
        <v>801</v>
      </c>
      <c r="U416" s="41"/>
      <c r="V416" s="41"/>
      <c r="W416" s="174"/>
      <c r="X416" s="174"/>
      <c r="Y416" s="41"/>
      <c r="Z416" s="42" t="s">
        <v>313</v>
      </c>
      <c r="AA416" s="42" t="s">
        <v>1932</v>
      </c>
      <c r="AB416" s="42" t="s">
        <v>345</v>
      </c>
      <c r="AC416" s="42"/>
      <c r="AD416" s="42"/>
      <c r="AE416" s="42"/>
      <c r="AF416" s="38">
        <f>PAI2025Planejamento[[#This Row],[1) IMPACTO NO MERCADO]]*$AG$2+PAI2025Planejamento[[#This Row],[2) RELEVÂNCIA TEMÁTICA]]*$AI$2+PAI2025Planejamento[[#This Row],[3) TIPO DE ATUAÇÃO]]*$AK$2+PAI2025Planejamento[[#This Row],[4) TIPO DE FÓRUM]]*$AM$2</f>
        <v>64</v>
      </c>
      <c r="AG416" s="39">
        <v>60</v>
      </c>
      <c r="AH416" s="39"/>
      <c r="AI416" s="39">
        <v>80</v>
      </c>
      <c r="AJ416" s="39"/>
      <c r="AK416" s="39">
        <v>40</v>
      </c>
      <c r="AL416" s="39"/>
      <c r="AM416" s="39">
        <v>80</v>
      </c>
      <c r="AN416" s="39"/>
      <c r="AO416" s="63">
        <v>5.8</v>
      </c>
      <c r="AP416" s="58">
        <v>1600</v>
      </c>
      <c r="AQ416" s="58">
        <v>420</v>
      </c>
      <c r="AR416" s="58">
        <v>420</v>
      </c>
      <c r="AS416" s="30">
        <v>43848</v>
      </c>
      <c r="AT416" s="30">
        <v>27840</v>
      </c>
      <c r="AU416" s="30">
        <v>71688</v>
      </c>
      <c r="AV416" s="197">
        <v>14616</v>
      </c>
      <c r="AW416" s="197">
        <v>9280</v>
      </c>
      <c r="AX416" s="197">
        <v>23896</v>
      </c>
      <c r="AY416" s="203"/>
      <c r="AZ416" s="203"/>
      <c r="BA416" s="203">
        <v>0</v>
      </c>
      <c r="BB416" s="191" t="s">
        <v>349</v>
      </c>
      <c r="BC416" s="191"/>
      <c r="BD416" s="192">
        <v>3</v>
      </c>
      <c r="BE416" s="40"/>
      <c r="BF416" s="187"/>
      <c r="BG416" s="183"/>
      <c r="BH416" s="183"/>
    </row>
    <row r="417" spans="1:60" ht="30" hidden="1" customHeight="1">
      <c r="A417" s="115" t="s">
        <v>122</v>
      </c>
      <c r="B417" s="116" t="s">
        <v>1658</v>
      </c>
      <c r="C417" s="116" t="s">
        <v>152</v>
      </c>
      <c r="D417" s="116"/>
      <c r="E417" s="117" t="s">
        <v>176</v>
      </c>
      <c r="F417" s="117" t="s">
        <v>152</v>
      </c>
      <c r="G417" s="116" t="s">
        <v>1933</v>
      </c>
      <c r="H417" s="116"/>
      <c r="I417" s="117"/>
      <c r="J417" s="5" t="s">
        <v>110</v>
      </c>
      <c r="K417" s="5">
        <v>1</v>
      </c>
      <c r="L417" s="5" t="s">
        <v>178</v>
      </c>
      <c r="M417" s="5">
        <v>1</v>
      </c>
      <c r="N417" s="7"/>
      <c r="O417" s="7"/>
      <c r="P417" s="5" t="s">
        <v>179</v>
      </c>
      <c r="Q417" s="5"/>
      <c r="R417" s="5" t="s">
        <v>112</v>
      </c>
      <c r="S417" s="5">
        <v>5</v>
      </c>
      <c r="T417" s="5" t="s">
        <v>1934</v>
      </c>
      <c r="U417" s="41"/>
      <c r="V417" s="5"/>
      <c r="W417" s="174"/>
      <c r="X417" s="174"/>
      <c r="Y417" s="5"/>
      <c r="Z417" s="3" t="s">
        <v>313</v>
      </c>
      <c r="AA417" s="3" t="s">
        <v>1935</v>
      </c>
      <c r="AB417" s="3" t="s">
        <v>517</v>
      </c>
      <c r="AC417" s="3" t="s">
        <v>683</v>
      </c>
      <c r="AD417" s="3"/>
      <c r="AE417" s="3"/>
      <c r="AF417" s="12">
        <f>AG417*$AG$2+AI417*$AI$2+AK417*$AK$2+AM417*$AM$2</f>
        <v>64</v>
      </c>
      <c r="AG417" s="7">
        <v>60</v>
      </c>
      <c r="AH417" s="7"/>
      <c r="AI417" s="7">
        <v>80</v>
      </c>
      <c r="AJ417" s="7" t="s">
        <v>1089</v>
      </c>
      <c r="AK417" s="7">
        <v>40</v>
      </c>
      <c r="AL417" s="7"/>
      <c r="AM417" s="7">
        <v>80</v>
      </c>
      <c r="AN417" s="7"/>
      <c r="AO417" s="63">
        <v>5.8</v>
      </c>
      <c r="AP417" s="58">
        <v>1600</v>
      </c>
      <c r="AQ417" s="58">
        <v>320</v>
      </c>
      <c r="AR417" s="58">
        <v>320</v>
      </c>
      <c r="AS417" s="30">
        <v>14848</v>
      </c>
      <c r="AT417" s="30">
        <v>9280</v>
      </c>
      <c r="AU417" s="30">
        <v>24128</v>
      </c>
      <c r="AV417" s="197">
        <v>14848</v>
      </c>
      <c r="AW417" s="197">
        <v>9280</v>
      </c>
      <c r="AX417" s="197">
        <v>24128</v>
      </c>
      <c r="AY417" s="202"/>
      <c r="AZ417" s="202"/>
      <c r="BA417" s="202">
        <v>0</v>
      </c>
      <c r="BB417" s="189" t="s">
        <v>1769</v>
      </c>
      <c r="BC417" s="189"/>
      <c r="BD417" s="189">
        <v>3</v>
      </c>
      <c r="BE417" s="49" t="s">
        <v>182</v>
      </c>
      <c r="BF417" s="185"/>
      <c r="BG417" s="183"/>
      <c r="BH417" s="183"/>
    </row>
    <row r="418" spans="1:60" ht="30" hidden="1" customHeight="1">
      <c r="A418" s="168" t="s">
        <v>122</v>
      </c>
      <c r="B418" s="119" t="s">
        <v>1909</v>
      </c>
      <c r="C418" s="119">
        <v>2025</v>
      </c>
      <c r="D418" s="119"/>
      <c r="E418" s="118" t="s">
        <v>1505</v>
      </c>
      <c r="F418" s="118" t="s">
        <v>340</v>
      </c>
      <c r="G418" s="119" t="s">
        <v>1910</v>
      </c>
      <c r="H418" s="119"/>
      <c r="I418" s="118"/>
      <c r="J418" s="41" t="s">
        <v>178</v>
      </c>
      <c r="K418" s="41">
        <v>1</v>
      </c>
      <c r="L418" s="41" t="s">
        <v>178</v>
      </c>
      <c r="M418" s="41">
        <v>1</v>
      </c>
      <c r="N418" s="39"/>
      <c r="O418" s="39"/>
      <c r="P418" s="5" t="s">
        <v>179</v>
      </c>
      <c r="Q418" s="41"/>
      <c r="R418" s="5" t="s">
        <v>112</v>
      </c>
      <c r="S418" s="41">
        <v>4</v>
      </c>
      <c r="T418" s="41" t="s">
        <v>218</v>
      </c>
      <c r="U418" s="41" t="s">
        <v>219</v>
      </c>
      <c r="V418" s="41"/>
      <c r="W418" s="174"/>
      <c r="X418" s="174"/>
      <c r="Y418" s="41"/>
      <c r="Z418" s="42" t="s">
        <v>267</v>
      </c>
      <c r="AA418" s="42" t="s">
        <v>1936</v>
      </c>
      <c r="AB418" s="42" t="s">
        <v>345</v>
      </c>
      <c r="AC418" s="42"/>
      <c r="AD418" s="42"/>
      <c r="AE418" s="42"/>
      <c r="AF418" s="38">
        <f>PAI2025Planejamento[[#This Row],[1) IMPACTO NO MERCADO]]*$AG$2+PAI2025Planejamento[[#This Row],[2) RELEVÂNCIA TEMÁTICA]]*$AI$2+PAI2025Planejamento[[#This Row],[3) TIPO DE ATUAÇÃO]]*$AK$2+PAI2025Planejamento[[#This Row],[4) TIPO DE FÓRUM]]*$AM$2</f>
        <v>64</v>
      </c>
      <c r="AG418" s="7">
        <v>60</v>
      </c>
      <c r="AH418" s="7"/>
      <c r="AI418" s="7">
        <v>80</v>
      </c>
      <c r="AJ418" s="7"/>
      <c r="AK418" s="7">
        <v>40</v>
      </c>
      <c r="AL418" s="7"/>
      <c r="AM418" s="7">
        <v>80</v>
      </c>
      <c r="AN418" s="7"/>
      <c r="AO418" s="63">
        <v>5.8</v>
      </c>
      <c r="AP418" s="58">
        <v>1600</v>
      </c>
      <c r="AQ418" s="58">
        <v>330</v>
      </c>
      <c r="AR418" s="58">
        <v>330</v>
      </c>
      <c r="AS418" s="30">
        <v>13398</v>
      </c>
      <c r="AT418" s="30">
        <v>9280</v>
      </c>
      <c r="AU418" s="30">
        <v>22678</v>
      </c>
      <c r="AV418" s="197">
        <v>13398</v>
      </c>
      <c r="AW418" s="197">
        <v>9280</v>
      </c>
      <c r="AX418" s="197">
        <v>22678</v>
      </c>
      <c r="AY418" s="203"/>
      <c r="AZ418" s="203"/>
      <c r="BA418" s="203">
        <v>0</v>
      </c>
      <c r="BB418" s="191"/>
      <c r="BC418" s="191"/>
      <c r="BD418" s="190">
        <v>3</v>
      </c>
      <c r="BE418" s="40"/>
      <c r="BF418" s="187"/>
      <c r="BG418" s="183"/>
      <c r="BH418" s="183"/>
    </row>
    <row r="419" spans="1:60" ht="30" hidden="1" customHeight="1">
      <c r="A419" s="168" t="s">
        <v>1383</v>
      </c>
      <c r="B419" s="121" t="s">
        <v>1937</v>
      </c>
      <c r="C419" s="119" t="s">
        <v>1520</v>
      </c>
      <c r="D419" s="119"/>
      <c r="E419" s="118" t="s">
        <v>339</v>
      </c>
      <c r="F419" s="118" t="s">
        <v>340</v>
      </c>
      <c r="G419" s="121"/>
      <c r="H419" s="121"/>
      <c r="I419" s="41"/>
      <c r="J419" s="41" t="s">
        <v>110</v>
      </c>
      <c r="K419" s="118">
        <v>2</v>
      </c>
      <c r="L419" s="41" t="s">
        <v>110</v>
      </c>
      <c r="M419" s="118">
        <v>1</v>
      </c>
      <c r="N419" s="208" t="s">
        <v>115</v>
      </c>
      <c r="O419" s="208">
        <v>1</v>
      </c>
      <c r="P419" s="5" t="s">
        <v>111</v>
      </c>
      <c r="Q419" s="118"/>
      <c r="R419" s="5" t="s">
        <v>112</v>
      </c>
      <c r="S419" s="41">
        <v>3</v>
      </c>
      <c r="T419" s="41" t="s">
        <v>924</v>
      </c>
      <c r="U419" s="41"/>
      <c r="V419" s="41" t="s">
        <v>115</v>
      </c>
      <c r="W419" s="174">
        <v>45992</v>
      </c>
      <c r="X419" s="174">
        <v>45992</v>
      </c>
      <c r="Y419" s="41"/>
      <c r="Z419" s="42" t="s">
        <v>141</v>
      </c>
      <c r="AA419" s="42" t="s">
        <v>1388</v>
      </c>
      <c r="AB419" s="42" t="s">
        <v>517</v>
      </c>
      <c r="AC419" s="42" t="s">
        <v>1389</v>
      </c>
      <c r="AD419" s="42"/>
      <c r="AE419" s="42"/>
      <c r="AF419" s="38">
        <f t="shared" ref="AF419:AF430" si="12">AG419*$AG$2+AI419*$AI$2+AK419*$AK$2+AM419*$AM$2</f>
        <v>86</v>
      </c>
      <c r="AG419" s="39">
        <v>80</v>
      </c>
      <c r="AH419" s="39"/>
      <c r="AI419" s="39">
        <v>100</v>
      </c>
      <c r="AJ419" s="39" t="s">
        <v>1390</v>
      </c>
      <c r="AK419" s="39">
        <v>80</v>
      </c>
      <c r="AL419" s="39"/>
      <c r="AM419" s="39">
        <v>80</v>
      </c>
      <c r="AN419" s="39"/>
      <c r="AO419" s="63">
        <v>5.8</v>
      </c>
      <c r="AP419" s="58">
        <v>800</v>
      </c>
      <c r="AQ419" s="58">
        <v>280</v>
      </c>
      <c r="AR419" s="58">
        <v>280</v>
      </c>
      <c r="AS419" s="30">
        <v>16240</v>
      </c>
      <c r="AT419" s="30">
        <v>9280</v>
      </c>
      <c r="AU419" s="30">
        <v>25520</v>
      </c>
      <c r="AV419" s="197">
        <v>8120</v>
      </c>
      <c r="AW419" s="197">
        <v>4640</v>
      </c>
      <c r="AX419" s="197">
        <v>12760</v>
      </c>
      <c r="AY419" s="203"/>
      <c r="AZ419" s="203"/>
      <c r="BA419" s="203">
        <v>0</v>
      </c>
      <c r="BB419" s="191" t="s">
        <v>1523</v>
      </c>
      <c r="BC419" s="191"/>
      <c r="BD419" s="41">
        <v>2</v>
      </c>
      <c r="BE419" s="40"/>
      <c r="BF419" s="187"/>
      <c r="BG419" s="183"/>
      <c r="BH419" s="183"/>
    </row>
    <row r="420" spans="1:60" ht="30" hidden="1" customHeight="1">
      <c r="A420" s="168" t="s">
        <v>122</v>
      </c>
      <c r="B420" s="119" t="s">
        <v>1917</v>
      </c>
      <c r="C420" s="119" t="s">
        <v>175</v>
      </c>
      <c r="D420" s="119"/>
      <c r="E420" s="118" t="s">
        <v>126</v>
      </c>
      <c r="F420" s="118" t="s">
        <v>152</v>
      </c>
      <c r="G420" s="119" t="s">
        <v>1938</v>
      </c>
      <c r="H420" s="119" t="s">
        <v>1939</v>
      </c>
      <c r="I420" s="118"/>
      <c r="J420" s="41" t="s">
        <v>178</v>
      </c>
      <c r="K420" s="41">
        <v>1</v>
      </c>
      <c r="L420" s="41" t="s">
        <v>178</v>
      </c>
      <c r="M420" s="41">
        <v>1</v>
      </c>
      <c r="N420" s="39"/>
      <c r="O420" s="39"/>
      <c r="P420" s="5" t="s">
        <v>179</v>
      </c>
      <c r="Q420" s="41"/>
      <c r="R420" s="41" t="s">
        <v>112</v>
      </c>
      <c r="S420" s="41">
        <v>3</v>
      </c>
      <c r="T420" s="41" t="s">
        <v>1919</v>
      </c>
      <c r="U420" s="41"/>
      <c r="V420" s="41"/>
      <c r="W420" s="174"/>
      <c r="X420" s="174"/>
      <c r="Y420" s="41"/>
      <c r="Z420" s="42" t="s">
        <v>116</v>
      </c>
      <c r="AA420" s="42" t="s">
        <v>1940</v>
      </c>
      <c r="AB420" s="42" t="s">
        <v>118</v>
      </c>
      <c r="AC420" s="42" t="s">
        <v>1941</v>
      </c>
      <c r="AD420" s="42"/>
      <c r="AE420" s="42"/>
      <c r="AF420" s="12">
        <f t="shared" si="12"/>
        <v>64</v>
      </c>
      <c r="AG420" s="39">
        <v>60</v>
      </c>
      <c r="AH420" s="39" t="s">
        <v>1942</v>
      </c>
      <c r="AI420" s="39">
        <v>80</v>
      </c>
      <c r="AJ420" s="39" t="s">
        <v>1922</v>
      </c>
      <c r="AK420" s="39">
        <v>40</v>
      </c>
      <c r="AL420" s="39"/>
      <c r="AM420" s="39">
        <v>80</v>
      </c>
      <c r="AN420" s="39"/>
      <c r="AO420" s="63">
        <v>5.8</v>
      </c>
      <c r="AP420" s="58">
        <v>1600</v>
      </c>
      <c r="AQ420" s="58">
        <v>370</v>
      </c>
      <c r="AR420" s="58">
        <v>370</v>
      </c>
      <c r="AS420" s="30">
        <v>12876</v>
      </c>
      <c r="AT420" s="30">
        <v>9280</v>
      </c>
      <c r="AU420" s="30">
        <v>22156</v>
      </c>
      <c r="AV420" s="197">
        <v>12876</v>
      </c>
      <c r="AW420" s="197">
        <v>9280</v>
      </c>
      <c r="AX420" s="197">
        <v>22156</v>
      </c>
      <c r="AY420" s="203"/>
      <c r="AZ420" s="203"/>
      <c r="BA420" s="203">
        <v>0</v>
      </c>
      <c r="BB420" s="191" t="s">
        <v>1943</v>
      </c>
      <c r="BC420" s="191"/>
      <c r="BD420" s="189">
        <v>3</v>
      </c>
      <c r="BE420" s="40"/>
      <c r="BF420" s="187"/>
      <c r="BG420" s="183"/>
      <c r="BH420" s="183"/>
    </row>
    <row r="421" spans="1:60" ht="30" hidden="1" customHeight="1">
      <c r="A421" s="168" t="s">
        <v>122</v>
      </c>
      <c r="B421" s="119" t="s">
        <v>1923</v>
      </c>
      <c r="C421" s="119" t="s">
        <v>786</v>
      </c>
      <c r="D421" s="119"/>
      <c r="E421" s="118" t="s">
        <v>126</v>
      </c>
      <c r="F421" s="118" t="s">
        <v>152</v>
      </c>
      <c r="G421" s="119" t="s">
        <v>1944</v>
      </c>
      <c r="H421" s="119" t="s">
        <v>1939</v>
      </c>
      <c r="I421" s="118"/>
      <c r="J421" s="41" t="s">
        <v>178</v>
      </c>
      <c r="K421" s="41">
        <v>1</v>
      </c>
      <c r="L421" s="41" t="s">
        <v>178</v>
      </c>
      <c r="M421" s="41">
        <v>1</v>
      </c>
      <c r="N421" s="39" t="s">
        <v>115</v>
      </c>
      <c r="O421" s="39">
        <v>1</v>
      </c>
      <c r="P421" s="5" t="s">
        <v>179</v>
      </c>
      <c r="Q421" s="41"/>
      <c r="R421" s="41" t="s">
        <v>112</v>
      </c>
      <c r="S421" s="41">
        <v>3</v>
      </c>
      <c r="T421" s="41" t="s">
        <v>260</v>
      </c>
      <c r="U421" s="41"/>
      <c r="V421" s="41"/>
      <c r="W421" s="175">
        <v>45992</v>
      </c>
      <c r="X421" s="175">
        <v>45992</v>
      </c>
      <c r="Y421" s="41"/>
      <c r="Z421" s="42" t="s">
        <v>116</v>
      </c>
      <c r="AA421" s="42" t="s">
        <v>1940</v>
      </c>
      <c r="AB421" s="42" t="s">
        <v>118</v>
      </c>
      <c r="AC421" s="42" t="s">
        <v>1941</v>
      </c>
      <c r="AD421" s="42"/>
      <c r="AE421" s="42"/>
      <c r="AF421" s="38">
        <f t="shared" si="12"/>
        <v>64</v>
      </c>
      <c r="AG421" s="39">
        <v>60</v>
      </c>
      <c r="AH421" s="39" t="s">
        <v>1942</v>
      </c>
      <c r="AI421" s="39">
        <v>80</v>
      </c>
      <c r="AJ421" s="39" t="s">
        <v>1922</v>
      </c>
      <c r="AK421" s="39">
        <v>40</v>
      </c>
      <c r="AL421" s="39"/>
      <c r="AM421" s="39">
        <v>80</v>
      </c>
      <c r="AN421" s="39"/>
      <c r="AO421" s="63">
        <v>5.8</v>
      </c>
      <c r="AP421" s="58">
        <v>1600</v>
      </c>
      <c r="AQ421" s="58">
        <v>310</v>
      </c>
      <c r="AR421" s="58">
        <v>310</v>
      </c>
      <c r="AS421" s="30">
        <v>10788</v>
      </c>
      <c r="AT421" s="30">
        <v>9280</v>
      </c>
      <c r="AU421" s="30">
        <v>20068</v>
      </c>
      <c r="AV421" s="197">
        <v>10788</v>
      </c>
      <c r="AW421" s="197">
        <v>9280</v>
      </c>
      <c r="AX421" s="197">
        <v>20068</v>
      </c>
      <c r="AY421" s="203"/>
      <c r="AZ421" s="203"/>
      <c r="BA421" s="203">
        <v>0</v>
      </c>
      <c r="BB421" s="191" t="s">
        <v>1943</v>
      </c>
      <c r="BC421" s="191"/>
      <c r="BD421" s="189">
        <v>3</v>
      </c>
      <c r="BE421" s="40"/>
      <c r="BF421" s="187"/>
      <c r="BG421" s="183"/>
      <c r="BH421" s="183"/>
    </row>
    <row r="422" spans="1:60" ht="30" hidden="1" customHeight="1">
      <c r="A422" s="168" t="s">
        <v>1293</v>
      </c>
      <c r="B422" s="119" t="s">
        <v>1945</v>
      </c>
      <c r="C422" s="119"/>
      <c r="D422" s="119"/>
      <c r="E422" s="118" t="s">
        <v>434</v>
      </c>
      <c r="F422" s="118" t="s">
        <v>166</v>
      </c>
      <c r="G422" s="119" t="s">
        <v>1946</v>
      </c>
      <c r="H422" s="119"/>
      <c r="I422" s="118"/>
      <c r="J422" s="41" t="s">
        <v>178</v>
      </c>
      <c r="K422" s="41">
        <v>1</v>
      </c>
      <c r="L422" s="41" t="s">
        <v>178</v>
      </c>
      <c r="M422" s="41">
        <v>1</v>
      </c>
      <c r="N422" s="39"/>
      <c r="O422" s="39"/>
      <c r="P422" s="5" t="s">
        <v>179</v>
      </c>
      <c r="Q422" s="41"/>
      <c r="R422" s="5" t="s">
        <v>112</v>
      </c>
      <c r="S422" s="41">
        <v>4</v>
      </c>
      <c r="T422" s="41" t="s">
        <v>801</v>
      </c>
      <c r="U422" s="41"/>
      <c r="V422" s="41"/>
      <c r="W422" s="174"/>
      <c r="X422" s="174"/>
      <c r="Y422" s="41"/>
      <c r="Z422" s="42" t="s">
        <v>267</v>
      </c>
      <c r="AA422" s="37" t="s">
        <v>1947</v>
      </c>
      <c r="AB422" s="42" t="s">
        <v>345</v>
      </c>
      <c r="AC422" s="42" t="s">
        <v>562</v>
      </c>
      <c r="AD422" s="51"/>
      <c r="AE422" s="51"/>
      <c r="AF422" s="38">
        <f t="shared" si="12"/>
        <v>64</v>
      </c>
      <c r="AG422" s="7">
        <v>60</v>
      </c>
      <c r="AH422" s="7"/>
      <c r="AI422" s="7">
        <v>80</v>
      </c>
      <c r="AJ422" s="7"/>
      <c r="AK422" s="7">
        <v>40</v>
      </c>
      <c r="AL422" s="7"/>
      <c r="AM422" s="7">
        <v>80</v>
      </c>
      <c r="AN422" s="7"/>
      <c r="AO422" s="63">
        <v>5.8</v>
      </c>
      <c r="AP422" s="58">
        <v>1600</v>
      </c>
      <c r="AQ422" s="58">
        <v>420</v>
      </c>
      <c r="AR422" s="58">
        <v>420</v>
      </c>
      <c r="AS422" s="30">
        <v>17052</v>
      </c>
      <c r="AT422" s="30">
        <v>9280</v>
      </c>
      <c r="AU422" s="30">
        <v>26332</v>
      </c>
      <c r="AV422" s="197">
        <v>17052</v>
      </c>
      <c r="AW422" s="197">
        <v>9280</v>
      </c>
      <c r="AX422" s="197">
        <v>26332</v>
      </c>
      <c r="AY422" s="203"/>
      <c r="AZ422" s="203"/>
      <c r="BA422" s="203">
        <v>0</v>
      </c>
      <c r="BB422" s="191" t="s">
        <v>1948</v>
      </c>
      <c r="BC422" s="191"/>
      <c r="BD422" s="190">
        <v>3</v>
      </c>
      <c r="BE422" s="40"/>
      <c r="BF422" s="187"/>
      <c r="BG422" s="183"/>
      <c r="BH422" s="183"/>
    </row>
    <row r="423" spans="1:60" ht="30" hidden="1" customHeight="1">
      <c r="A423" s="168" t="s">
        <v>122</v>
      </c>
      <c r="B423" s="119" t="s">
        <v>1949</v>
      </c>
      <c r="C423" s="119" t="s">
        <v>971</v>
      </c>
      <c r="D423" s="119"/>
      <c r="E423" s="118" t="s">
        <v>216</v>
      </c>
      <c r="F423" s="118" t="s">
        <v>217</v>
      </c>
      <c r="G423" s="119"/>
      <c r="H423" s="119" t="s">
        <v>591</v>
      </c>
      <c r="I423" s="118"/>
      <c r="J423" s="41" t="s">
        <v>178</v>
      </c>
      <c r="K423" s="41">
        <v>1</v>
      </c>
      <c r="L423" s="41" t="s">
        <v>178</v>
      </c>
      <c r="M423" s="41">
        <v>1</v>
      </c>
      <c r="N423" s="39"/>
      <c r="O423" s="39"/>
      <c r="P423" s="5" t="s">
        <v>179</v>
      </c>
      <c r="Q423" s="41"/>
      <c r="R423" s="41" t="s">
        <v>112</v>
      </c>
      <c r="S423" s="41">
        <v>5</v>
      </c>
      <c r="T423" s="41" t="s">
        <v>218</v>
      </c>
      <c r="U423" s="41"/>
      <c r="V423" s="41"/>
      <c r="W423" s="174"/>
      <c r="X423" s="174"/>
      <c r="Y423" s="41"/>
      <c r="Z423" s="42" t="s">
        <v>116</v>
      </c>
      <c r="AA423" s="42" t="s">
        <v>1950</v>
      </c>
      <c r="AB423" s="42" t="s">
        <v>118</v>
      </c>
      <c r="AC423" s="42" t="s">
        <v>1951</v>
      </c>
      <c r="AD423" s="42"/>
      <c r="AE423" s="42"/>
      <c r="AF423" s="38">
        <f t="shared" si="12"/>
        <v>64</v>
      </c>
      <c r="AG423" s="7">
        <v>40</v>
      </c>
      <c r="AH423" s="7" t="s">
        <v>1952</v>
      </c>
      <c r="AI423" s="7">
        <v>80</v>
      </c>
      <c r="AJ423" s="7" t="s">
        <v>1953</v>
      </c>
      <c r="AK423" s="7">
        <v>80</v>
      </c>
      <c r="AL423" s="7" t="s">
        <v>1954</v>
      </c>
      <c r="AM423" s="7">
        <v>80</v>
      </c>
      <c r="AN423" s="7" t="s">
        <v>1955</v>
      </c>
      <c r="AO423" s="63">
        <v>5.8</v>
      </c>
      <c r="AP423" s="58">
        <v>1600</v>
      </c>
      <c r="AQ423" s="58">
        <v>330</v>
      </c>
      <c r="AR423" s="58">
        <v>330</v>
      </c>
      <c r="AS423" s="30">
        <v>15312</v>
      </c>
      <c r="AT423" s="30">
        <v>9280</v>
      </c>
      <c r="AU423" s="30">
        <v>24592</v>
      </c>
      <c r="AV423" s="197">
        <v>15312</v>
      </c>
      <c r="AW423" s="197">
        <v>9280</v>
      </c>
      <c r="AX423" s="197">
        <v>24592</v>
      </c>
      <c r="AY423" s="203"/>
      <c r="AZ423" s="203"/>
      <c r="BA423" s="203">
        <v>0</v>
      </c>
      <c r="BB423" s="191" t="s">
        <v>975</v>
      </c>
      <c r="BC423" s="191"/>
      <c r="BD423" s="189">
        <v>3</v>
      </c>
      <c r="BE423" s="40" t="s">
        <v>968</v>
      </c>
      <c r="BF423" s="187" t="s">
        <v>969</v>
      </c>
      <c r="BG423" s="183"/>
      <c r="BH423" s="183"/>
    </row>
    <row r="424" spans="1:60" ht="30" hidden="1" customHeight="1">
      <c r="A424" s="168" t="s">
        <v>1293</v>
      </c>
      <c r="B424" s="119" t="s">
        <v>1956</v>
      </c>
      <c r="C424" s="119" t="s">
        <v>1957</v>
      </c>
      <c r="D424" s="119"/>
      <c r="E424" s="118" t="s">
        <v>434</v>
      </c>
      <c r="F424" s="118" t="s">
        <v>166</v>
      </c>
      <c r="G424" s="119" t="s">
        <v>1958</v>
      </c>
      <c r="H424" s="119"/>
      <c r="I424" s="118"/>
      <c r="J424" s="41" t="s">
        <v>178</v>
      </c>
      <c r="K424" s="41">
        <v>2</v>
      </c>
      <c r="L424" s="41" t="s">
        <v>178</v>
      </c>
      <c r="M424" s="41">
        <v>2</v>
      </c>
      <c r="N424" s="39"/>
      <c r="O424" s="39"/>
      <c r="P424" s="5" t="s">
        <v>179</v>
      </c>
      <c r="Q424" s="41"/>
      <c r="R424" s="5" t="s">
        <v>112</v>
      </c>
      <c r="S424" s="41">
        <v>3</v>
      </c>
      <c r="T424" s="41" t="s">
        <v>801</v>
      </c>
      <c r="U424" s="41"/>
      <c r="V424" s="41"/>
      <c r="W424" s="174"/>
      <c r="X424" s="174"/>
      <c r="Y424" s="41"/>
      <c r="Z424" s="42" t="s">
        <v>141</v>
      </c>
      <c r="AA424" s="37" t="s">
        <v>1959</v>
      </c>
      <c r="AB424" s="42" t="s">
        <v>345</v>
      </c>
      <c r="AC424" s="42" t="s">
        <v>562</v>
      </c>
      <c r="AD424" s="51"/>
      <c r="AE424" s="51"/>
      <c r="AF424" s="38">
        <f t="shared" si="12"/>
        <v>64</v>
      </c>
      <c r="AG424" s="39">
        <v>60</v>
      </c>
      <c r="AH424" s="39"/>
      <c r="AI424" s="39">
        <v>80</v>
      </c>
      <c r="AJ424" s="39"/>
      <c r="AK424" s="39">
        <v>40</v>
      </c>
      <c r="AL424" s="39"/>
      <c r="AM424" s="39">
        <v>80</v>
      </c>
      <c r="AN424" s="39"/>
      <c r="AO424" s="63">
        <v>5.8</v>
      </c>
      <c r="AP424" s="58">
        <v>1600</v>
      </c>
      <c r="AQ424" s="58">
        <v>420</v>
      </c>
      <c r="AR424" s="58">
        <v>420</v>
      </c>
      <c r="AS424" s="30">
        <v>29232</v>
      </c>
      <c r="AT424" s="30">
        <v>18560</v>
      </c>
      <c r="AU424" s="30">
        <v>47792</v>
      </c>
      <c r="AV424" s="197">
        <v>29232</v>
      </c>
      <c r="AW424" s="197">
        <v>18560</v>
      </c>
      <c r="AX424" s="197">
        <v>47792</v>
      </c>
      <c r="AY424" s="203"/>
      <c r="AZ424" s="203"/>
      <c r="BA424" s="203">
        <v>0</v>
      </c>
      <c r="BB424" s="191" t="s">
        <v>1960</v>
      </c>
      <c r="BC424" s="191"/>
      <c r="BD424" s="192">
        <v>3</v>
      </c>
      <c r="BE424" s="40"/>
      <c r="BF424" s="187"/>
      <c r="BG424" s="183"/>
      <c r="BH424" s="183"/>
    </row>
    <row r="425" spans="1:60" ht="30" hidden="1" customHeight="1">
      <c r="A425" s="168" t="s">
        <v>1113</v>
      </c>
      <c r="B425" s="119" t="s">
        <v>1961</v>
      </c>
      <c r="C425" s="119" t="s">
        <v>1962</v>
      </c>
      <c r="D425" s="119"/>
      <c r="E425" s="118" t="s">
        <v>176</v>
      </c>
      <c r="F425" s="117" t="s">
        <v>651</v>
      </c>
      <c r="G425" s="119"/>
      <c r="H425" s="119"/>
      <c r="I425" s="118"/>
      <c r="J425" s="41" t="s">
        <v>178</v>
      </c>
      <c r="K425" s="41">
        <v>1</v>
      </c>
      <c r="L425" s="41" t="s">
        <v>178</v>
      </c>
      <c r="M425" s="41">
        <v>1</v>
      </c>
      <c r="N425" s="39"/>
      <c r="O425" s="39"/>
      <c r="P425" s="5" t="s">
        <v>179</v>
      </c>
      <c r="Q425" s="41"/>
      <c r="R425" s="5" t="s">
        <v>112</v>
      </c>
      <c r="S425" s="41">
        <v>5</v>
      </c>
      <c r="T425" s="5" t="s">
        <v>801</v>
      </c>
      <c r="U425" s="41"/>
      <c r="V425" s="41"/>
      <c r="W425" s="174"/>
      <c r="X425" s="174"/>
      <c r="Y425" s="41"/>
      <c r="Z425" s="42" t="s">
        <v>116</v>
      </c>
      <c r="AA425" s="42" t="s">
        <v>1963</v>
      </c>
      <c r="AB425" s="42" t="s">
        <v>118</v>
      </c>
      <c r="AC425" s="42" t="s">
        <v>683</v>
      </c>
      <c r="AD425" s="42"/>
      <c r="AE425" s="42"/>
      <c r="AF425" s="38">
        <f t="shared" si="12"/>
        <v>64</v>
      </c>
      <c r="AG425" s="39">
        <v>60</v>
      </c>
      <c r="AH425" s="39" t="s">
        <v>1964</v>
      </c>
      <c r="AI425" s="39">
        <v>80</v>
      </c>
      <c r="AJ425" s="39" t="s">
        <v>1965</v>
      </c>
      <c r="AK425" s="39">
        <v>60</v>
      </c>
      <c r="AL425" s="39" t="s">
        <v>1966</v>
      </c>
      <c r="AM425" s="39">
        <v>40</v>
      </c>
      <c r="AN425" s="39" t="s">
        <v>1967</v>
      </c>
      <c r="AO425" s="63">
        <v>5.8</v>
      </c>
      <c r="AP425" s="58">
        <v>1600</v>
      </c>
      <c r="AQ425" s="58">
        <v>420</v>
      </c>
      <c r="AR425" s="58">
        <v>420</v>
      </c>
      <c r="AS425" s="30">
        <v>19488</v>
      </c>
      <c r="AT425" s="30">
        <v>9280</v>
      </c>
      <c r="AU425" s="30">
        <v>28768</v>
      </c>
      <c r="AV425" s="197">
        <v>19488</v>
      </c>
      <c r="AW425" s="197">
        <v>9280</v>
      </c>
      <c r="AX425" s="197">
        <v>28768</v>
      </c>
      <c r="AY425" s="203"/>
      <c r="AZ425" s="203"/>
      <c r="BA425" s="203">
        <v>0</v>
      </c>
      <c r="BB425" s="191" t="s">
        <v>1456</v>
      </c>
      <c r="BC425" s="191"/>
      <c r="BD425" s="41">
        <v>3</v>
      </c>
      <c r="BE425" s="40" t="s">
        <v>182</v>
      </c>
      <c r="BF425" s="187"/>
      <c r="BG425" s="183"/>
      <c r="BH425" s="183"/>
    </row>
    <row r="426" spans="1:60" ht="30" hidden="1" customHeight="1">
      <c r="A426" s="168" t="s">
        <v>723</v>
      </c>
      <c r="B426" s="119" t="s">
        <v>724</v>
      </c>
      <c r="C426" s="119" t="s">
        <v>1241</v>
      </c>
      <c r="D426" s="119"/>
      <c r="E426" s="118" t="s">
        <v>126</v>
      </c>
      <c r="F426" s="117" t="s">
        <v>340</v>
      </c>
      <c r="G426" s="119" t="s">
        <v>1968</v>
      </c>
      <c r="H426" s="119" t="s">
        <v>1892</v>
      </c>
      <c r="I426" s="118"/>
      <c r="J426" s="41" t="s">
        <v>178</v>
      </c>
      <c r="K426" s="41">
        <v>1</v>
      </c>
      <c r="L426" s="41" t="s">
        <v>178</v>
      </c>
      <c r="M426" s="41">
        <v>1</v>
      </c>
      <c r="N426" s="39"/>
      <c r="O426" s="39"/>
      <c r="P426" s="5" t="s">
        <v>179</v>
      </c>
      <c r="Q426" s="41"/>
      <c r="R426" s="5" t="s">
        <v>112</v>
      </c>
      <c r="S426" s="41">
        <v>3</v>
      </c>
      <c r="T426" s="41" t="s">
        <v>514</v>
      </c>
      <c r="U426" s="41"/>
      <c r="V426" s="5"/>
      <c r="W426" s="174"/>
      <c r="X426" s="174"/>
      <c r="Y426" s="41"/>
      <c r="Z426" s="42" t="s">
        <v>313</v>
      </c>
      <c r="AA426" s="42" t="s">
        <v>1969</v>
      </c>
      <c r="AB426" s="42" t="s">
        <v>345</v>
      </c>
      <c r="AC426" s="42"/>
      <c r="AD426" s="42"/>
      <c r="AE426" s="42"/>
      <c r="AF426" s="38">
        <f t="shared" si="12"/>
        <v>64</v>
      </c>
      <c r="AG426" s="7">
        <v>60</v>
      </c>
      <c r="AH426" s="7"/>
      <c r="AI426" s="7">
        <v>80</v>
      </c>
      <c r="AJ426" s="7"/>
      <c r="AK426" s="7">
        <v>60</v>
      </c>
      <c r="AL426" s="7" t="s">
        <v>1970</v>
      </c>
      <c r="AM426" s="7">
        <v>40</v>
      </c>
      <c r="AN426" s="7"/>
      <c r="AO426" s="63">
        <v>5.8</v>
      </c>
      <c r="AP426" s="60">
        <v>1600</v>
      </c>
      <c r="AQ426" s="60">
        <v>420</v>
      </c>
      <c r="AR426" s="60">
        <v>420</v>
      </c>
      <c r="AS426" s="30">
        <v>14616</v>
      </c>
      <c r="AT426" s="30">
        <v>9280</v>
      </c>
      <c r="AU426" s="30">
        <v>23896</v>
      </c>
      <c r="AV426" s="197">
        <v>14616</v>
      </c>
      <c r="AW426" s="197">
        <v>9280</v>
      </c>
      <c r="AX426" s="197">
        <v>23896</v>
      </c>
      <c r="AY426" s="203"/>
      <c r="AZ426" s="203"/>
      <c r="BA426" s="203">
        <v>0</v>
      </c>
      <c r="BB426" s="191" t="s">
        <v>799</v>
      </c>
      <c r="BC426" s="191"/>
      <c r="BD426" s="189">
        <v>3</v>
      </c>
      <c r="BE426" s="40"/>
      <c r="BF426" s="187"/>
      <c r="BG426" s="183"/>
      <c r="BH426" s="183"/>
    </row>
    <row r="427" spans="1:60" ht="30" hidden="1" customHeight="1">
      <c r="A427" s="41" t="s">
        <v>391</v>
      </c>
      <c r="B427" s="116" t="s">
        <v>1971</v>
      </c>
      <c r="C427" s="116" t="s">
        <v>567</v>
      </c>
      <c r="D427" s="116"/>
      <c r="E427" s="117" t="s">
        <v>216</v>
      </c>
      <c r="F427" s="117" t="s">
        <v>217</v>
      </c>
      <c r="G427" s="116"/>
      <c r="H427" s="119"/>
      <c r="I427" s="118"/>
      <c r="J427" s="41" t="s">
        <v>178</v>
      </c>
      <c r="K427" s="41">
        <v>3</v>
      </c>
      <c r="L427" s="41" t="s">
        <v>178</v>
      </c>
      <c r="M427" s="41">
        <v>3</v>
      </c>
      <c r="N427" s="39"/>
      <c r="O427" s="39"/>
      <c r="P427" s="5" t="s">
        <v>179</v>
      </c>
      <c r="Q427" s="41"/>
      <c r="R427" s="41" t="s">
        <v>112</v>
      </c>
      <c r="S427" s="41">
        <v>3</v>
      </c>
      <c r="T427" s="41" t="s">
        <v>801</v>
      </c>
      <c r="U427" s="41"/>
      <c r="V427" s="41"/>
      <c r="W427" s="174"/>
      <c r="X427" s="174"/>
      <c r="Y427" s="41"/>
      <c r="Z427" s="42" t="s">
        <v>116</v>
      </c>
      <c r="AA427" s="42" t="s">
        <v>570</v>
      </c>
      <c r="AB427" s="42" t="s">
        <v>345</v>
      </c>
      <c r="AC427" s="42" t="s">
        <v>571</v>
      </c>
      <c r="AD427" s="42"/>
      <c r="AE427" s="42"/>
      <c r="AF427" s="12">
        <f t="shared" si="12"/>
        <v>64</v>
      </c>
      <c r="AG427" s="7">
        <v>60</v>
      </c>
      <c r="AH427" s="7"/>
      <c r="AI427" s="7">
        <v>80</v>
      </c>
      <c r="AJ427" s="7"/>
      <c r="AK427" s="7">
        <v>40</v>
      </c>
      <c r="AL427" s="7"/>
      <c r="AM427" s="7">
        <v>80</v>
      </c>
      <c r="AN427" s="7"/>
      <c r="AO427" s="63">
        <v>5.8</v>
      </c>
      <c r="AP427" s="58">
        <v>1600</v>
      </c>
      <c r="AQ427" s="58">
        <v>420</v>
      </c>
      <c r="AR427" s="58">
        <v>420</v>
      </c>
      <c r="AS427" s="30">
        <v>43848</v>
      </c>
      <c r="AT427" s="30">
        <v>27840</v>
      </c>
      <c r="AU427" s="30">
        <v>71688</v>
      </c>
      <c r="AV427" s="197">
        <v>43848</v>
      </c>
      <c r="AW427" s="197">
        <v>27840</v>
      </c>
      <c r="AX427" s="197">
        <v>71688</v>
      </c>
      <c r="AY427" s="203"/>
      <c r="AZ427" s="203"/>
      <c r="BA427" s="203">
        <v>0</v>
      </c>
      <c r="BB427" s="41" t="s">
        <v>1972</v>
      </c>
      <c r="BC427" s="191"/>
      <c r="BD427" s="189">
        <v>3</v>
      </c>
      <c r="BE427" s="30" t="s">
        <v>574</v>
      </c>
      <c r="BF427" s="186"/>
      <c r="BG427" s="183"/>
      <c r="BH427" s="183"/>
    </row>
    <row r="428" spans="1:60" ht="30" hidden="1" customHeight="1">
      <c r="A428" s="168" t="s">
        <v>1973</v>
      </c>
      <c r="B428" s="119" t="s">
        <v>1974</v>
      </c>
      <c r="C428" s="119" t="s">
        <v>1975</v>
      </c>
      <c r="D428" s="119"/>
      <c r="E428" s="118" t="s">
        <v>165</v>
      </c>
      <c r="F428" s="117" t="s">
        <v>166</v>
      </c>
      <c r="G428" s="119" t="s">
        <v>1976</v>
      </c>
      <c r="H428" s="119" t="s">
        <v>1977</v>
      </c>
      <c r="I428" s="118"/>
      <c r="J428" s="41" t="s">
        <v>178</v>
      </c>
      <c r="K428" s="41">
        <v>2</v>
      </c>
      <c r="L428" s="41" t="s">
        <v>178</v>
      </c>
      <c r="M428" s="41">
        <v>2</v>
      </c>
      <c r="N428" s="39"/>
      <c r="O428" s="39"/>
      <c r="P428" s="5" t="s">
        <v>179</v>
      </c>
      <c r="Q428" s="41"/>
      <c r="R428" s="5" t="s">
        <v>112</v>
      </c>
      <c r="S428" s="41">
        <v>3</v>
      </c>
      <c r="T428" s="41" t="s">
        <v>801</v>
      </c>
      <c r="U428" s="41"/>
      <c r="V428" s="41"/>
      <c r="W428" s="174"/>
      <c r="X428" s="174"/>
      <c r="Y428" s="41"/>
      <c r="Z428" s="42" t="s">
        <v>817</v>
      </c>
      <c r="AA428" s="42" t="s">
        <v>1978</v>
      </c>
      <c r="AB428" s="100"/>
      <c r="AC428" s="101" t="s">
        <v>1979</v>
      </c>
      <c r="AD428" s="101"/>
      <c r="AE428" s="101"/>
      <c r="AF428" s="38">
        <f t="shared" si="12"/>
        <v>64</v>
      </c>
      <c r="AG428" s="39">
        <v>60</v>
      </c>
      <c r="AH428" s="39"/>
      <c r="AI428" s="39">
        <v>80</v>
      </c>
      <c r="AJ428" s="39"/>
      <c r="AK428" s="39">
        <v>40</v>
      </c>
      <c r="AL428" s="39"/>
      <c r="AM428" s="39">
        <v>80</v>
      </c>
      <c r="AN428" s="39"/>
      <c r="AO428" s="63">
        <v>5.8</v>
      </c>
      <c r="AP428" s="58">
        <v>1600</v>
      </c>
      <c r="AQ428" s="58">
        <v>420</v>
      </c>
      <c r="AR428" s="58">
        <v>420</v>
      </c>
      <c r="AS428" s="30">
        <v>29232</v>
      </c>
      <c r="AT428" s="30">
        <v>18560</v>
      </c>
      <c r="AU428" s="30">
        <v>47792</v>
      </c>
      <c r="AV428" s="197">
        <v>29232</v>
      </c>
      <c r="AW428" s="197">
        <v>18560</v>
      </c>
      <c r="AX428" s="197">
        <v>47792</v>
      </c>
      <c r="AY428" s="203"/>
      <c r="AZ428" s="203"/>
      <c r="BA428" s="203">
        <v>0</v>
      </c>
      <c r="BB428" s="191"/>
      <c r="BC428" s="191"/>
      <c r="BD428" s="189">
        <v>3</v>
      </c>
      <c r="BE428" s="40"/>
      <c r="BF428" s="187"/>
      <c r="BG428" s="183"/>
      <c r="BH428" s="183"/>
    </row>
    <row r="429" spans="1:60" ht="30" hidden="1" customHeight="1">
      <c r="A429" s="168" t="s">
        <v>1980</v>
      </c>
      <c r="B429" s="119" t="s">
        <v>1981</v>
      </c>
      <c r="C429" s="119" t="s">
        <v>971</v>
      </c>
      <c r="D429" s="119"/>
      <c r="E429" s="118" t="s">
        <v>216</v>
      </c>
      <c r="F429" s="118" t="s">
        <v>217</v>
      </c>
      <c r="G429" s="119"/>
      <c r="H429" s="119"/>
      <c r="I429" s="118"/>
      <c r="J429" s="41" t="s">
        <v>178</v>
      </c>
      <c r="K429" s="41">
        <v>1</v>
      </c>
      <c r="L429" s="41" t="s">
        <v>178</v>
      </c>
      <c r="M429" s="41">
        <v>1</v>
      </c>
      <c r="N429" s="39"/>
      <c r="O429" s="39"/>
      <c r="P429" s="5" t="s">
        <v>179</v>
      </c>
      <c r="Q429" s="41"/>
      <c r="R429" s="5" t="s">
        <v>112</v>
      </c>
      <c r="S429" s="41">
        <v>3</v>
      </c>
      <c r="T429" s="41" t="s">
        <v>139</v>
      </c>
      <c r="U429" s="41"/>
      <c r="V429" s="5"/>
      <c r="W429" s="174"/>
      <c r="X429" s="174"/>
      <c r="Y429" s="41"/>
      <c r="Z429" s="42" t="s">
        <v>313</v>
      </c>
      <c r="AA429" s="37"/>
      <c r="AB429" s="42" t="s">
        <v>345</v>
      </c>
      <c r="AC429" s="42" t="s">
        <v>1906</v>
      </c>
      <c r="AD429" s="51"/>
      <c r="AE429" s="51"/>
      <c r="AF429" s="38">
        <f t="shared" si="12"/>
        <v>64</v>
      </c>
      <c r="AG429" s="39">
        <v>60</v>
      </c>
      <c r="AH429" s="39"/>
      <c r="AI429" s="39">
        <v>80</v>
      </c>
      <c r="AJ429" s="39"/>
      <c r="AK429" s="39">
        <v>40</v>
      </c>
      <c r="AL429" s="39"/>
      <c r="AM429" s="39">
        <v>80</v>
      </c>
      <c r="AN429" s="39"/>
      <c r="AO429" s="63">
        <v>5.8</v>
      </c>
      <c r="AP429" s="60">
        <v>1600</v>
      </c>
      <c r="AQ429" s="60">
        <v>420</v>
      </c>
      <c r="AR429" s="60">
        <v>420</v>
      </c>
      <c r="AS429" s="30">
        <v>14616</v>
      </c>
      <c r="AT429" s="30">
        <v>9280</v>
      </c>
      <c r="AU429" s="30">
        <v>23896</v>
      </c>
      <c r="AV429" s="197">
        <v>14616</v>
      </c>
      <c r="AW429" s="197">
        <v>9280</v>
      </c>
      <c r="AX429" s="197">
        <v>23896</v>
      </c>
      <c r="AY429" s="203"/>
      <c r="AZ429" s="203"/>
      <c r="BA429" s="203">
        <v>0</v>
      </c>
      <c r="BB429" s="191"/>
      <c r="BC429" s="191"/>
      <c r="BD429" s="190">
        <v>3</v>
      </c>
      <c r="BE429" s="40"/>
      <c r="BF429" s="187"/>
      <c r="BG429" s="183"/>
      <c r="BH429" s="183"/>
    </row>
    <row r="430" spans="1:60" ht="30" hidden="1" customHeight="1">
      <c r="A430" s="168" t="s">
        <v>1113</v>
      </c>
      <c r="B430" s="119" t="s">
        <v>1982</v>
      </c>
      <c r="C430" s="119" t="s">
        <v>1983</v>
      </c>
      <c r="D430" s="119"/>
      <c r="E430" s="118" t="s">
        <v>434</v>
      </c>
      <c r="F430" s="117" t="s">
        <v>166</v>
      </c>
      <c r="G430" s="119"/>
      <c r="H430" s="119"/>
      <c r="I430" s="118"/>
      <c r="J430" s="41" t="s">
        <v>178</v>
      </c>
      <c r="K430" s="41">
        <v>2</v>
      </c>
      <c r="L430" s="41" t="s">
        <v>178</v>
      </c>
      <c r="M430" s="41">
        <v>2</v>
      </c>
      <c r="N430" s="39"/>
      <c r="O430" s="39"/>
      <c r="P430" s="5" t="s">
        <v>179</v>
      </c>
      <c r="Q430" s="41"/>
      <c r="R430" s="5" t="s">
        <v>112</v>
      </c>
      <c r="S430" s="41">
        <v>3</v>
      </c>
      <c r="T430" s="41" t="s">
        <v>1984</v>
      </c>
      <c r="U430" s="41"/>
      <c r="V430" s="41"/>
      <c r="W430" s="174"/>
      <c r="X430" s="174"/>
      <c r="Y430" s="41"/>
      <c r="Z430" s="42" t="s">
        <v>267</v>
      </c>
      <c r="AA430" s="37" t="s">
        <v>1985</v>
      </c>
      <c r="AB430" s="42" t="s">
        <v>345</v>
      </c>
      <c r="AC430" s="42" t="s">
        <v>562</v>
      </c>
      <c r="AD430" s="51"/>
      <c r="AE430" s="51"/>
      <c r="AF430" s="38">
        <f t="shared" si="12"/>
        <v>64</v>
      </c>
      <c r="AG430" s="39">
        <v>60</v>
      </c>
      <c r="AH430" s="39"/>
      <c r="AI430" s="39">
        <v>80</v>
      </c>
      <c r="AJ430" s="39" t="s">
        <v>1986</v>
      </c>
      <c r="AK430" s="39">
        <v>40</v>
      </c>
      <c r="AL430" s="39"/>
      <c r="AM430" s="39">
        <v>80</v>
      </c>
      <c r="AN430" s="39" t="s">
        <v>1987</v>
      </c>
      <c r="AO430" s="63">
        <v>5.8</v>
      </c>
      <c r="AP430" s="58">
        <v>1600</v>
      </c>
      <c r="AQ430" s="58">
        <v>420</v>
      </c>
      <c r="AR430" s="58">
        <v>420</v>
      </c>
      <c r="AS430" s="30">
        <v>29232</v>
      </c>
      <c r="AT430" s="30">
        <v>18560</v>
      </c>
      <c r="AU430" s="30">
        <v>47792</v>
      </c>
      <c r="AV430" s="197">
        <v>29232</v>
      </c>
      <c r="AW430" s="197">
        <v>18560</v>
      </c>
      <c r="AX430" s="197">
        <v>47792</v>
      </c>
      <c r="AY430" s="203"/>
      <c r="AZ430" s="203"/>
      <c r="BA430" s="203">
        <v>0</v>
      </c>
      <c r="BB430" s="191" t="s">
        <v>1948</v>
      </c>
      <c r="BC430" s="191"/>
      <c r="BD430" s="190">
        <v>3</v>
      </c>
      <c r="BE430" s="40"/>
      <c r="BF430" s="187"/>
      <c r="BG430" s="183"/>
      <c r="BH430" s="183"/>
    </row>
    <row r="431" spans="1:60" ht="30" hidden="1" customHeight="1">
      <c r="A431" s="168" t="s">
        <v>122</v>
      </c>
      <c r="B431" s="119" t="s">
        <v>1658</v>
      </c>
      <c r="C431" s="119" t="s">
        <v>1988</v>
      </c>
      <c r="D431" s="119"/>
      <c r="E431" s="118" t="s">
        <v>1505</v>
      </c>
      <c r="F431" s="117" t="s">
        <v>152</v>
      </c>
      <c r="G431" s="119" t="s">
        <v>1823</v>
      </c>
      <c r="H431" s="119"/>
      <c r="I431" s="118"/>
      <c r="J431" s="41" t="s">
        <v>178</v>
      </c>
      <c r="K431" s="41">
        <v>1</v>
      </c>
      <c r="L431" s="41" t="s">
        <v>178</v>
      </c>
      <c r="M431" s="41">
        <v>1</v>
      </c>
      <c r="N431" s="39"/>
      <c r="O431" s="39"/>
      <c r="P431" s="5" t="s">
        <v>179</v>
      </c>
      <c r="Q431" s="41"/>
      <c r="R431" s="5" t="s">
        <v>112</v>
      </c>
      <c r="S431" s="41">
        <v>5</v>
      </c>
      <c r="T431" s="41" t="s">
        <v>801</v>
      </c>
      <c r="U431" s="41"/>
      <c r="V431" s="41"/>
      <c r="W431" s="174"/>
      <c r="X431" s="174"/>
      <c r="Y431" s="41"/>
      <c r="Z431" s="42" t="s">
        <v>267</v>
      </c>
      <c r="AA431" s="42" t="s">
        <v>1989</v>
      </c>
      <c r="AB431" s="42" t="s">
        <v>118</v>
      </c>
      <c r="AC431" s="42"/>
      <c r="AD431" s="42"/>
      <c r="AE431" s="42"/>
      <c r="AF431" s="38">
        <f>PAI2025Planejamento[[#This Row],[1) IMPACTO NO MERCADO]]*$AG$2+PAI2025Planejamento[[#This Row],[2) RELEVÂNCIA TEMÁTICA]]*$AI$2+PAI2025Planejamento[[#This Row],[3) TIPO DE ATUAÇÃO]]*$AK$2+PAI2025Planejamento[[#This Row],[4) TIPO DE FÓRUM]]*$AM$2</f>
        <v>64</v>
      </c>
      <c r="AG431" s="39">
        <v>60</v>
      </c>
      <c r="AH431" s="39"/>
      <c r="AI431" s="39">
        <v>80</v>
      </c>
      <c r="AJ431" s="39" t="s">
        <v>1089</v>
      </c>
      <c r="AK431" s="39">
        <v>40</v>
      </c>
      <c r="AL431" s="39"/>
      <c r="AM431" s="39">
        <v>80</v>
      </c>
      <c r="AN431" s="39"/>
      <c r="AO431" s="63">
        <v>5.8</v>
      </c>
      <c r="AP431" s="58">
        <v>1600</v>
      </c>
      <c r="AQ431" s="58">
        <v>420</v>
      </c>
      <c r="AR431" s="58">
        <v>420</v>
      </c>
      <c r="AS431" s="30">
        <v>19488</v>
      </c>
      <c r="AT431" s="30">
        <v>9280</v>
      </c>
      <c r="AU431" s="30">
        <v>28768</v>
      </c>
      <c r="AV431" s="197">
        <v>19488</v>
      </c>
      <c r="AW431" s="197">
        <v>9280</v>
      </c>
      <c r="AX431" s="197">
        <v>28768</v>
      </c>
      <c r="AY431" s="203"/>
      <c r="AZ431" s="203"/>
      <c r="BA431" s="203">
        <v>0</v>
      </c>
      <c r="BB431" s="191"/>
      <c r="BC431" s="191"/>
      <c r="BD431" s="190">
        <v>3</v>
      </c>
      <c r="BE431" s="40"/>
      <c r="BF431" s="187"/>
      <c r="BG431" s="183"/>
      <c r="BH431" s="183"/>
    </row>
    <row r="432" spans="1:60" ht="30" hidden="1" customHeight="1">
      <c r="A432" s="168" t="s">
        <v>1990</v>
      </c>
      <c r="B432" s="119" t="s">
        <v>1991</v>
      </c>
      <c r="C432" s="119" t="s">
        <v>1990</v>
      </c>
      <c r="D432" s="119"/>
      <c r="E432" s="118" t="s">
        <v>165</v>
      </c>
      <c r="F432" s="117" t="s">
        <v>166</v>
      </c>
      <c r="G432" s="119" t="s">
        <v>1992</v>
      </c>
      <c r="H432" s="119"/>
      <c r="I432" s="118"/>
      <c r="J432" s="41" t="s">
        <v>178</v>
      </c>
      <c r="K432" s="41">
        <v>1</v>
      </c>
      <c r="L432" s="41" t="s">
        <v>178</v>
      </c>
      <c r="M432" s="41">
        <v>1</v>
      </c>
      <c r="N432" s="39"/>
      <c r="O432" s="39"/>
      <c r="P432" s="5" t="s">
        <v>179</v>
      </c>
      <c r="Q432" s="41"/>
      <c r="R432" s="5" t="s">
        <v>112</v>
      </c>
      <c r="S432" s="41">
        <v>1</v>
      </c>
      <c r="T432" s="41" t="s">
        <v>801</v>
      </c>
      <c r="U432" s="41"/>
      <c r="V432" s="41"/>
      <c r="W432" s="174"/>
      <c r="X432" s="174"/>
      <c r="Y432" s="41"/>
      <c r="Z432" s="42" t="s">
        <v>141</v>
      </c>
      <c r="AA432" s="42" t="s">
        <v>1993</v>
      </c>
      <c r="AB432" s="42" t="s">
        <v>345</v>
      </c>
      <c r="AC432" s="42"/>
      <c r="AD432" s="42"/>
      <c r="AE432" s="42"/>
      <c r="AF432" s="38">
        <f t="shared" ref="AF432:AF438" si="13">AG432*$AG$2+AI432*$AI$2+AK432*$AK$2+AM432*$AM$2</f>
        <v>64</v>
      </c>
      <c r="AG432" s="39">
        <v>60</v>
      </c>
      <c r="AH432" s="39"/>
      <c r="AI432" s="39">
        <v>80</v>
      </c>
      <c r="AJ432" s="39"/>
      <c r="AK432" s="39">
        <v>40</v>
      </c>
      <c r="AL432" s="39"/>
      <c r="AM432" s="39">
        <v>80</v>
      </c>
      <c r="AN432" s="39"/>
      <c r="AO432" s="63">
        <v>5.8</v>
      </c>
      <c r="AP432" s="58">
        <v>1600</v>
      </c>
      <c r="AQ432" s="58">
        <v>420</v>
      </c>
      <c r="AR432" s="58">
        <v>420</v>
      </c>
      <c r="AS432" s="30">
        <v>9744</v>
      </c>
      <c r="AT432" s="30">
        <v>9280</v>
      </c>
      <c r="AU432" s="30">
        <v>19024</v>
      </c>
      <c r="AV432" s="197">
        <v>9744</v>
      </c>
      <c r="AW432" s="197">
        <v>9280</v>
      </c>
      <c r="AX432" s="197">
        <v>19024</v>
      </c>
      <c r="AY432" s="203"/>
      <c r="AZ432" s="203"/>
      <c r="BA432" s="203">
        <v>0</v>
      </c>
      <c r="BB432" s="191" t="s">
        <v>1994</v>
      </c>
      <c r="BC432" s="191"/>
      <c r="BD432" s="41">
        <v>3</v>
      </c>
      <c r="BE432" s="40"/>
      <c r="BF432" s="187"/>
      <c r="BG432" s="183"/>
      <c r="BH432" s="183"/>
    </row>
    <row r="433" spans="1:60" ht="30" hidden="1" customHeight="1">
      <c r="A433" s="168" t="s">
        <v>122</v>
      </c>
      <c r="B433" s="119" t="s">
        <v>1995</v>
      </c>
      <c r="C433" s="119" t="s">
        <v>1996</v>
      </c>
      <c r="D433" s="119"/>
      <c r="E433" s="118" t="s">
        <v>126</v>
      </c>
      <c r="F433" s="118" t="s">
        <v>321</v>
      </c>
      <c r="G433" s="119" t="s">
        <v>1997</v>
      </c>
      <c r="H433" s="119"/>
      <c r="I433" s="118"/>
      <c r="J433" s="41" t="s">
        <v>178</v>
      </c>
      <c r="K433" s="41">
        <v>1</v>
      </c>
      <c r="L433" s="41" t="s">
        <v>178</v>
      </c>
      <c r="M433" s="41">
        <v>1</v>
      </c>
      <c r="N433" s="39"/>
      <c r="O433" s="39"/>
      <c r="P433" s="5" t="s">
        <v>179</v>
      </c>
      <c r="Q433" s="41"/>
      <c r="R433" s="5" t="s">
        <v>799</v>
      </c>
      <c r="S433" s="41">
        <v>3</v>
      </c>
      <c r="T433" s="41" t="s">
        <v>285</v>
      </c>
      <c r="U433" s="41"/>
      <c r="V433" s="41"/>
      <c r="W433" s="174"/>
      <c r="X433" s="174"/>
      <c r="Y433" s="41"/>
      <c r="Z433" s="42" t="s">
        <v>116</v>
      </c>
      <c r="AA433" s="42" t="s">
        <v>1998</v>
      </c>
      <c r="AB433" s="42" t="s">
        <v>118</v>
      </c>
      <c r="AC433" s="42" t="s">
        <v>325</v>
      </c>
      <c r="AD433" s="42" t="s">
        <v>326</v>
      </c>
      <c r="AE433" s="42"/>
      <c r="AF433" s="38">
        <f t="shared" si="13"/>
        <v>64</v>
      </c>
      <c r="AG433" s="39">
        <v>60</v>
      </c>
      <c r="AH433" s="39"/>
      <c r="AI433" s="39">
        <v>80</v>
      </c>
      <c r="AJ433" s="39"/>
      <c r="AK433" s="39">
        <v>40</v>
      </c>
      <c r="AL433" s="39"/>
      <c r="AM433" s="39">
        <v>80</v>
      </c>
      <c r="AN433" s="39"/>
      <c r="AO433" s="63">
        <v>5.8</v>
      </c>
      <c r="AP433" s="58">
        <v>1600</v>
      </c>
      <c r="AQ433" s="58">
        <v>330</v>
      </c>
      <c r="AR433" s="58">
        <v>330</v>
      </c>
      <c r="AS433" s="30">
        <v>11484</v>
      </c>
      <c r="AT433" s="30">
        <v>9280</v>
      </c>
      <c r="AU433" s="30">
        <v>20764</v>
      </c>
      <c r="AV433" s="197">
        <v>11484</v>
      </c>
      <c r="AW433" s="197">
        <v>9280</v>
      </c>
      <c r="AX433" s="197">
        <v>20764</v>
      </c>
      <c r="AY433" s="203"/>
      <c r="AZ433" s="203"/>
      <c r="BA433" s="203">
        <v>0</v>
      </c>
      <c r="BB433" s="191" t="s">
        <v>1999</v>
      </c>
      <c r="BC433" s="191"/>
      <c r="BD433" s="41">
        <v>3</v>
      </c>
      <c r="BE433" s="40"/>
      <c r="BF433" s="187"/>
      <c r="BG433" s="183"/>
      <c r="BH433" s="183"/>
    </row>
    <row r="434" spans="1:60" ht="30" hidden="1" customHeight="1">
      <c r="A434" s="168" t="s">
        <v>1973</v>
      </c>
      <c r="B434" s="119" t="s">
        <v>2000</v>
      </c>
      <c r="C434" s="119" t="s">
        <v>2001</v>
      </c>
      <c r="D434" s="119"/>
      <c r="E434" s="118" t="s">
        <v>434</v>
      </c>
      <c r="F434" s="118" t="s">
        <v>166</v>
      </c>
      <c r="G434" s="119" t="s">
        <v>2002</v>
      </c>
      <c r="H434" s="119"/>
      <c r="I434" s="118"/>
      <c r="J434" s="41" t="s">
        <v>178</v>
      </c>
      <c r="K434" s="41">
        <v>1</v>
      </c>
      <c r="L434" s="41" t="s">
        <v>178</v>
      </c>
      <c r="M434" s="41">
        <v>1</v>
      </c>
      <c r="N434" s="39"/>
      <c r="O434" s="39"/>
      <c r="P434" s="5" t="s">
        <v>179</v>
      </c>
      <c r="Q434" s="41"/>
      <c r="R434" s="5" t="s">
        <v>112</v>
      </c>
      <c r="S434" s="41">
        <v>2</v>
      </c>
      <c r="T434" s="41" t="s">
        <v>801</v>
      </c>
      <c r="U434" s="41"/>
      <c r="V434" s="41"/>
      <c r="W434" s="174"/>
      <c r="X434" s="174"/>
      <c r="Y434" s="41"/>
      <c r="Z434" s="42" t="s">
        <v>267</v>
      </c>
      <c r="AA434" s="37" t="s">
        <v>2003</v>
      </c>
      <c r="AB434" s="42" t="s">
        <v>345</v>
      </c>
      <c r="AC434" s="42" t="s">
        <v>562</v>
      </c>
      <c r="AD434" s="51"/>
      <c r="AE434" s="51"/>
      <c r="AF434" s="38">
        <f t="shared" si="13"/>
        <v>64</v>
      </c>
      <c r="AG434" s="39">
        <v>60</v>
      </c>
      <c r="AH434" s="39"/>
      <c r="AI434" s="39">
        <v>80</v>
      </c>
      <c r="AJ434" s="39"/>
      <c r="AK434" s="39">
        <v>40</v>
      </c>
      <c r="AL434" s="39"/>
      <c r="AM434" s="39">
        <v>80</v>
      </c>
      <c r="AN434" s="39"/>
      <c r="AO434" s="63">
        <v>5.8</v>
      </c>
      <c r="AP434" s="58">
        <v>1600</v>
      </c>
      <c r="AQ434" s="58">
        <v>420</v>
      </c>
      <c r="AR434" s="58">
        <v>420</v>
      </c>
      <c r="AS434" s="30">
        <v>12180</v>
      </c>
      <c r="AT434" s="30">
        <v>9280</v>
      </c>
      <c r="AU434" s="30">
        <v>21460</v>
      </c>
      <c r="AV434" s="197">
        <v>12180</v>
      </c>
      <c r="AW434" s="197">
        <v>9280</v>
      </c>
      <c r="AX434" s="197">
        <v>21460</v>
      </c>
      <c r="AY434" s="203"/>
      <c r="AZ434" s="203"/>
      <c r="BA434" s="203">
        <v>0</v>
      </c>
      <c r="BB434" s="191" t="s">
        <v>1948</v>
      </c>
      <c r="BC434" s="191"/>
      <c r="BD434" s="192">
        <v>3</v>
      </c>
      <c r="BE434" s="40"/>
      <c r="BF434" s="187"/>
      <c r="BG434" s="183"/>
      <c r="BH434" s="183"/>
    </row>
    <row r="435" spans="1:60" ht="30" hidden="1" customHeight="1">
      <c r="A435" s="168" t="s">
        <v>391</v>
      </c>
      <c r="B435" s="119" t="s">
        <v>2004</v>
      </c>
      <c r="C435" s="119" t="s">
        <v>2005</v>
      </c>
      <c r="D435" s="119"/>
      <c r="E435" s="118" t="s">
        <v>165</v>
      </c>
      <c r="F435" s="118" t="s">
        <v>166</v>
      </c>
      <c r="G435" s="119" t="s">
        <v>2006</v>
      </c>
      <c r="H435" s="119"/>
      <c r="I435" s="118"/>
      <c r="J435" s="41" t="s">
        <v>110</v>
      </c>
      <c r="K435" s="41">
        <v>2</v>
      </c>
      <c r="L435" s="41" t="s">
        <v>178</v>
      </c>
      <c r="M435" s="41">
        <v>2</v>
      </c>
      <c r="N435" s="39"/>
      <c r="O435" s="39"/>
      <c r="P435" s="5" t="s">
        <v>179</v>
      </c>
      <c r="Q435" s="41"/>
      <c r="R435" s="41" t="s">
        <v>112</v>
      </c>
      <c r="S435" s="41">
        <v>5</v>
      </c>
      <c r="T435" s="41" t="s">
        <v>801</v>
      </c>
      <c r="U435" s="41"/>
      <c r="V435" s="41"/>
      <c r="W435" s="174"/>
      <c r="X435" s="174"/>
      <c r="Y435" s="41"/>
      <c r="Z435" s="42" t="s">
        <v>267</v>
      </c>
      <c r="AA435" s="42" t="s">
        <v>1166</v>
      </c>
      <c r="AB435" s="42" t="s">
        <v>561</v>
      </c>
      <c r="AC435" s="42" t="s">
        <v>473</v>
      </c>
      <c r="AD435" s="42"/>
      <c r="AE435" s="42"/>
      <c r="AF435" s="38">
        <f t="shared" si="13"/>
        <v>64</v>
      </c>
      <c r="AG435" s="39">
        <v>60</v>
      </c>
      <c r="AH435" s="39"/>
      <c r="AI435" s="39">
        <v>80</v>
      </c>
      <c r="AJ435" s="39" t="s">
        <v>2007</v>
      </c>
      <c r="AK435" s="39">
        <v>40</v>
      </c>
      <c r="AL435" s="39"/>
      <c r="AM435" s="39">
        <v>80</v>
      </c>
      <c r="AN435" s="39"/>
      <c r="AO435" s="63">
        <v>5.8</v>
      </c>
      <c r="AP435" s="58">
        <v>1600</v>
      </c>
      <c r="AQ435" s="58">
        <v>420</v>
      </c>
      <c r="AR435" s="58">
        <v>420</v>
      </c>
      <c r="AS435" s="30">
        <v>38976</v>
      </c>
      <c r="AT435" s="30">
        <v>18560</v>
      </c>
      <c r="AU435" s="30">
        <v>57536</v>
      </c>
      <c r="AV435" s="197">
        <v>38976</v>
      </c>
      <c r="AW435" s="197">
        <v>18560</v>
      </c>
      <c r="AX435" s="197">
        <v>57536</v>
      </c>
      <c r="AY435" s="203"/>
      <c r="AZ435" s="203"/>
      <c r="BA435" s="203">
        <v>0</v>
      </c>
      <c r="BB435" s="191" t="s">
        <v>2008</v>
      </c>
      <c r="BC435" s="191"/>
      <c r="BD435" s="41">
        <v>3</v>
      </c>
      <c r="BE435" s="40"/>
      <c r="BF435" s="187"/>
      <c r="BG435" s="183"/>
      <c r="BH435" s="183"/>
    </row>
    <row r="436" spans="1:60" ht="30" hidden="1" customHeight="1">
      <c r="A436" s="168" t="s">
        <v>391</v>
      </c>
      <c r="B436" s="119" t="s">
        <v>2009</v>
      </c>
      <c r="C436" s="119" t="s">
        <v>2005</v>
      </c>
      <c r="D436" s="119"/>
      <c r="E436" s="118" t="s">
        <v>216</v>
      </c>
      <c r="F436" s="118" t="s">
        <v>217</v>
      </c>
      <c r="G436" s="119"/>
      <c r="H436" s="119"/>
      <c r="I436" s="118"/>
      <c r="J436" s="41" t="s">
        <v>178</v>
      </c>
      <c r="K436" s="41">
        <v>2</v>
      </c>
      <c r="L436" s="41" t="s">
        <v>178</v>
      </c>
      <c r="M436" s="41">
        <v>2</v>
      </c>
      <c r="N436" s="39"/>
      <c r="O436" s="39"/>
      <c r="P436" s="5" t="s">
        <v>179</v>
      </c>
      <c r="Q436" s="41"/>
      <c r="R436" s="5" t="s">
        <v>112</v>
      </c>
      <c r="S436" s="41">
        <v>3</v>
      </c>
      <c r="T436" s="41" t="s">
        <v>801</v>
      </c>
      <c r="U436" s="41"/>
      <c r="V436" s="41"/>
      <c r="W436" s="174"/>
      <c r="X436" s="174"/>
      <c r="Y436" s="41"/>
      <c r="Z436" s="42" t="s">
        <v>313</v>
      </c>
      <c r="AA436" s="42" t="s">
        <v>2010</v>
      </c>
      <c r="AB436" s="42" t="s">
        <v>345</v>
      </c>
      <c r="AC436" s="42"/>
      <c r="AD436" s="42"/>
      <c r="AE436" s="42"/>
      <c r="AF436" s="38">
        <f t="shared" si="13"/>
        <v>64</v>
      </c>
      <c r="AG436" s="7">
        <v>60</v>
      </c>
      <c r="AH436" s="7" t="s">
        <v>2011</v>
      </c>
      <c r="AI436" s="7">
        <v>80</v>
      </c>
      <c r="AJ436" s="7" t="s">
        <v>2012</v>
      </c>
      <c r="AK436" s="7">
        <v>40</v>
      </c>
      <c r="AL436" s="7" t="s">
        <v>2013</v>
      </c>
      <c r="AM436" s="7">
        <v>80</v>
      </c>
      <c r="AN436" s="7" t="s">
        <v>2014</v>
      </c>
      <c r="AO436" s="63">
        <v>5.8</v>
      </c>
      <c r="AP436" s="58">
        <v>1600</v>
      </c>
      <c r="AQ436" s="58">
        <v>420</v>
      </c>
      <c r="AR436" s="58">
        <v>420</v>
      </c>
      <c r="AS436" s="30">
        <v>29232</v>
      </c>
      <c r="AT436" s="30">
        <v>18560</v>
      </c>
      <c r="AU436" s="30">
        <v>47792</v>
      </c>
      <c r="AV436" s="197">
        <v>29232</v>
      </c>
      <c r="AW436" s="197">
        <v>18560</v>
      </c>
      <c r="AX436" s="197">
        <v>47792</v>
      </c>
      <c r="AY436" s="203"/>
      <c r="AZ436" s="203"/>
      <c r="BA436" s="203">
        <v>0</v>
      </c>
      <c r="BB436" s="191" t="s">
        <v>2015</v>
      </c>
      <c r="BC436" s="191"/>
      <c r="BD436" s="189">
        <v>3</v>
      </c>
      <c r="BE436" s="40" t="s">
        <v>216</v>
      </c>
      <c r="BF436" s="187"/>
      <c r="BG436" s="183"/>
      <c r="BH436" s="183"/>
    </row>
    <row r="437" spans="1:60" ht="30" hidden="1" customHeight="1">
      <c r="A437" s="168" t="s">
        <v>391</v>
      </c>
      <c r="B437" s="119" t="s">
        <v>2016</v>
      </c>
      <c r="C437" s="119" t="s">
        <v>2005</v>
      </c>
      <c r="D437" s="119"/>
      <c r="E437" s="118" t="s">
        <v>274</v>
      </c>
      <c r="F437" s="118" t="s">
        <v>275</v>
      </c>
      <c r="G437" s="119" t="s">
        <v>2017</v>
      </c>
      <c r="H437" s="119"/>
      <c r="I437" s="118"/>
      <c r="J437" s="41" t="s">
        <v>178</v>
      </c>
      <c r="K437" s="41">
        <v>1</v>
      </c>
      <c r="L437" s="41" t="s">
        <v>178</v>
      </c>
      <c r="M437" s="41">
        <v>1</v>
      </c>
      <c r="N437" s="39"/>
      <c r="O437" s="39"/>
      <c r="P437" s="5" t="s">
        <v>179</v>
      </c>
      <c r="Q437" s="41"/>
      <c r="R437" s="5" t="s">
        <v>112</v>
      </c>
      <c r="S437" s="41">
        <v>4</v>
      </c>
      <c r="T437" s="41" t="s">
        <v>801</v>
      </c>
      <c r="U437" s="41"/>
      <c r="V437" s="41"/>
      <c r="W437" s="174"/>
      <c r="X437" s="174"/>
      <c r="Y437" s="41"/>
      <c r="Z437" s="42" t="s">
        <v>313</v>
      </c>
      <c r="AA437" s="37" t="s">
        <v>2018</v>
      </c>
      <c r="AB437" s="42" t="s">
        <v>345</v>
      </c>
      <c r="AC437" s="42" t="s">
        <v>356</v>
      </c>
      <c r="AD437" s="51"/>
      <c r="AE437" s="51"/>
      <c r="AF437" s="38">
        <f t="shared" si="13"/>
        <v>64</v>
      </c>
      <c r="AG437" s="39">
        <v>60</v>
      </c>
      <c r="AH437" s="39"/>
      <c r="AI437" s="39">
        <v>80</v>
      </c>
      <c r="AJ437" s="39"/>
      <c r="AK437" s="39">
        <v>60</v>
      </c>
      <c r="AL437" s="39"/>
      <c r="AM437" s="39">
        <v>40</v>
      </c>
      <c r="AN437" s="39"/>
      <c r="AO437" s="63">
        <v>5.8</v>
      </c>
      <c r="AP437" s="58">
        <v>1600</v>
      </c>
      <c r="AQ437" s="58">
        <v>420</v>
      </c>
      <c r="AR437" s="58">
        <v>420</v>
      </c>
      <c r="AS437" s="30">
        <v>17052</v>
      </c>
      <c r="AT437" s="30">
        <v>9280</v>
      </c>
      <c r="AU437" s="30">
        <v>26332</v>
      </c>
      <c r="AV437" s="197">
        <v>17052</v>
      </c>
      <c r="AW437" s="197">
        <v>9280</v>
      </c>
      <c r="AX437" s="197">
        <v>26332</v>
      </c>
      <c r="AY437" s="203"/>
      <c r="AZ437" s="203"/>
      <c r="BA437" s="203">
        <v>0</v>
      </c>
      <c r="BB437" s="191" t="s">
        <v>277</v>
      </c>
      <c r="BC437" s="191"/>
      <c r="BD437" s="192">
        <v>3</v>
      </c>
      <c r="BE437" s="40"/>
      <c r="BF437" s="187"/>
      <c r="BG437" s="183"/>
      <c r="BH437" s="183"/>
    </row>
    <row r="438" spans="1:60" ht="30" hidden="1" customHeight="1">
      <c r="A438" s="168" t="s">
        <v>2019</v>
      </c>
      <c r="B438" s="119" t="s">
        <v>2020</v>
      </c>
      <c r="C438" s="119" t="s">
        <v>2005</v>
      </c>
      <c r="D438" s="119"/>
      <c r="E438" s="118" t="s">
        <v>264</v>
      </c>
      <c r="F438" s="118" t="s">
        <v>265</v>
      </c>
      <c r="G438" s="119"/>
      <c r="H438" s="119"/>
      <c r="I438" s="118"/>
      <c r="J438" s="41" t="s">
        <v>110</v>
      </c>
      <c r="K438" s="41">
        <v>1</v>
      </c>
      <c r="L438" s="41" t="s">
        <v>178</v>
      </c>
      <c r="M438" s="41">
        <v>1</v>
      </c>
      <c r="N438" s="39"/>
      <c r="O438" s="39"/>
      <c r="P438" s="5" t="s">
        <v>179</v>
      </c>
      <c r="Q438" s="41"/>
      <c r="R438" s="5" t="s">
        <v>112</v>
      </c>
      <c r="S438" s="41">
        <v>4</v>
      </c>
      <c r="T438" s="41" t="s">
        <v>139</v>
      </c>
      <c r="U438" s="41"/>
      <c r="V438" s="41"/>
      <c r="W438" s="174"/>
      <c r="X438" s="174"/>
      <c r="Y438" s="41"/>
      <c r="Z438" s="42" t="s">
        <v>313</v>
      </c>
      <c r="AA438" s="37" t="s">
        <v>2021</v>
      </c>
      <c r="AB438" s="42" t="s">
        <v>345</v>
      </c>
      <c r="AC438" s="42" t="s">
        <v>269</v>
      </c>
      <c r="AD438" s="51"/>
      <c r="AE438" s="51"/>
      <c r="AF438" s="38">
        <f t="shared" si="13"/>
        <v>62</v>
      </c>
      <c r="AG438" s="39">
        <v>60</v>
      </c>
      <c r="AH438" s="39"/>
      <c r="AI438" s="39">
        <v>80</v>
      </c>
      <c r="AJ438" s="39"/>
      <c r="AK438" s="39">
        <v>40</v>
      </c>
      <c r="AL438" s="39"/>
      <c r="AM438" s="39">
        <v>60</v>
      </c>
      <c r="AN438" s="39"/>
      <c r="AO438" s="63">
        <v>5.8</v>
      </c>
      <c r="AP438" s="58">
        <v>1600</v>
      </c>
      <c r="AQ438" s="58">
        <v>420</v>
      </c>
      <c r="AR438" s="58">
        <v>420</v>
      </c>
      <c r="AS438" s="30">
        <v>17052</v>
      </c>
      <c r="AT438" s="30">
        <v>9280</v>
      </c>
      <c r="AU438" s="30">
        <v>26332</v>
      </c>
      <c r="AV438" s="198">
        <v>17052</v>
      </c>
      <c r="AW438" s="198">
        <v>9280</v>
      </c>
      <c r="AX438" s="198">
        <v>26332</v>
      </c>
      <c r="AY438" s="203"/>
      <c r="AZ438" s="203"/>
      <c r="BA438" s="203">
        <v>0</v>
      </c>
      <c r="BB438" s="191" t="s">
        <v>2022</v>
      </c>
      <c r="BC438" s="191"/>
      <c r="BD438" s="192">
        <v>3</v>
      </c>
      <c r="BE438" s="40"/>
      <c r="BF438" s="187"/>
      <c r="BG438" s="183"/>
      <c r="BH438" s="183"/>
    </row>
    <row r="439" spans="1:60" ht="30" hidden="1" customHeight="1">
      <c r="A439" s="168" t="s">
        <v>2023</v>
      </c>
      <c r="B439" s="119" t="s">
        <v>2024</v>
      </c>
      <c r="C439" s="119" t="s">
        <v>2025</v>
      </c>
      <c r="D439" s="119"/>
      <c r="E439" s="118" t="s">
        <v>1505</v>
      </c>
      <c r="F439" s="117" t="s">
        <v>340</v>
      </c>
      <c r="G439" s="119" t="s">
        <v>2026</v>
      </c>
      <c r="H439" s="119"/>
      <c r="I439" s="118"/>
      <c r="J439" s="5" t="s">
        <v>110</v>
      </c>
      <c r="K439" s="41">
        <v>2</v>
      </c>
      <c r="L439" s="5" t="s">
        <v>178</v>
      </c>
      <c r="M439" s="41">
        <v>1</v>
      </c>
      <c r="N439" s="39"/>
      <c r="O439" s="39"/>
      <c r="P439" s="5" t="s">
        <v>179</v>
      </c>
      <c r="Q439" s="41"/>
      <c r="R439" s="5" t="s">
        <v>112</v>
      </c>
      <c r="S439" s="41">
        <v>2</v>
      </c>
      <c r="T439" s="41" t="s">
        <v>139</v>
      </c>
      <c r="U439" s="41"/>
      <c r="V439" s="41"/>
      <c r="W439" s="174"/>
      <c r="X439" s="174"/>
      <c r="Y439" s="41"/>
      <c r="Z439" s="42" t="s">
        <v>524</v>
      </c>
      <c r="AA439" s="42" t="s">
        <v>2027</v>
      </c>
      <c r="AB439" s="42" t="s">
        <v>345</v>
      </c>
      <c r="AC439" s="42"/>
      <c r="AD439" s="42"/>
      <c r="AE439" s="42"/>
      <c r="AF439" s="38">
        <f>PAI2025Planejamento[[#This Row],[1) IMPACTO NO MERCADO]]*$AG$2+PAI2025Planejamento[[#This Row],[2) RELEVÂNCIA TEMÁTICA]]*$AI$2+PAI2025Planejamento[[#This Row],[3) TIPO DE ATUAÇÃO]]*$AK$2+PAI2025Planejamento[[#This Row],[4) TIPO DE FÓRUM]]*$AM$2</f>
        <v>62</v>
      </c>
      <c r="AG439" s="39">
        <v>60</v>
      </c>
      <c r="AH439" s="39"/>
      <c r="AI439" s="39">
        <v>100</v>
      </c>
      <c r="AJ439" s="39"/>
      <c r="AK439" s="39">
        <v>0</v>
      </c>
      <c r="AL439" s="39"/>
      <c r="AM439" s="39">
        <v>80</v>
      </c>
      <c r="AN439" s="39"/>
      <c r="AO439" s="63">
        <v>5.8</v>
      </c>
      <c r="AP439" s="58">
        <v>1600</v>
      </c>
      <c r="AQ439" s="58">
        <f>AVERAGE(460,420)</f>
        <v>440</v>
      </c>
      <c r="AR439" s="58">
        <v>460</v>
      </c>
      <c r="AS439" s="30">
        <v>25520</v>
      </c>
      <c r="AT439" s="30">
        <v>18560</v>
      </c>
      <c r="AU439" s="30">
        <v>44080</v>
      </c>
      <c r="AV439" s="197">
        <v>13340</v>
      </c>
      <c r="AW439" s="197">
        <v>9280</v>
      </c>
      <c r="AX439" s="197">
        <v>22620</v>
      </c>
      <c r="AY439" s="203"/>
      <c r="AZ439" s="203"/>
      <c r="BA439" s="203">
        <v>0</v>
      </c>
      <c r="BB439" s="191"/>
      <c r="BC439" s="191"/>
      <c r="BD439" s="190">
        <v>3</v>
      </c>
      <c r="BE439" s="40"/>
      <c r="BF439" s="187"/>
      <c r="BG439" s="183"/>
      <c r="BH439" s="183"/>
    </row>
    <row r="440" spans="1:60" ht="30" hidden="1" customHeight="1">
      <c r="A440" s="168" t="s">
        <v>122</v>
      </c>
      <c r="B440" s="119" t="s">
        <v>2028</v>
      </c>
      <c r="C440" s="119" t="s">
        <v>2029</v>
      </c>
      <c r="D440" s="119"/>
      <c r="E440" s="118" t="s">
        <v>434</v>
      </c>
      <c r="F440" s="117" t="s">
        <v>166</v>
      </c>
      <c r="G440" s="119" t="s">
        <v>2030</v>
      </c>
      <c r="H440" s="119"/>
      <c r="I440" s="118"/>
      <c r="J440" s="41" t="s">
        <v>110</v>
      </c>
      <c r="K440" s="41">
        <v>1</v>
      </c>
      <c r="L440" s="41" t="s">
        <v>178</v>
      </c>
      <c r="M440" s="41">
        <v>1</v>
      </c>
      <c r="N440" s="39"/>
      <c r="O440" s="39"/>
      <c r="P440" s="5" t="s">
        <v>179</v>
      </c>
      <c r="Q440" s="41"/>
      <c r="R440" s="5" t="s">
        <v>112</v>
      </c>
      <c r="S440" s="41">
        <v>3</v>
      </c>
      <c r="T440" s="41" t="s">
        <v>924</v>
      </c>
      <c r="U440" s="41"/>
      <c r="V440" s="41" t="s">
        <v>115</v>
      </c>
      <c r="W440" s="174"/>
      <c r="X440" s="174"/>
      <c r="Y440" s="41"/>
      <c r="Z440" s="42" t="s">
        <v>267</v>
      </c>
      <c r="AA440" s="37" t="s">
        <v>2031</v>
      </c>
      <c r="AB440" s="42" t="s">
        <v>561</v>
      </c>
      <c r="AC440" s="42" t="s">
        <v>2032</v>
      </c>
      <c r="AD440" s="51"/>
      <c r="AE440" s="51"/>
      <c r="AF440" s="38">
        <f t="shared" ref="AF440:AF462" si="14">AG440*$AG$2+AI440*$AI$2+AK440*$AK$2+AM440*$AM$2</f>
        <v>62</v>
      </c>
      <c r="AG440" s="39">
        <v>40</v>
      </c>
      <c r="AH440" s="39"/>
      <c r="AI440" s="39">
        <v>60</v>
      </c>
      <c r="AJ440" s="39"/>
      <c r="AK440" s="39">
        <v>100</v>
      </c>
      <c r="AL440" s="39"/>
      <c r="AM440" s="39">
        <v>80</v>
      </c>
      <c r="AN440" s="39"/>
      <c r="AO440" s="63">
        <v>5.8</v>
      </c>
      <c r="AP440" s="58">
        <v>800</v>
      </c>
      <c r="AQ440" s="58">
        <v>280</v>
      </c>
      <c r="AR440" s="58">
        <v>280</v>
      </c>
      <c r="AS440" s="30">
        <v>8120</v>
      </c>
      <c r="AT440" s="30">
        <v>4640</v>
      </c>
      <c r="AU440" s="30">
        <v>12760</v>
      </c>
      <c r="AV440" s="197">
        <v>8120</v>
      </c>
      <c r="AW440" s="197">
        <v>4640</v>
      </c>
      <c r="AX440" s="197">
        <v>12760</v>
      </c>
      <c r="AY440" s="203"/>
      <c r="AZ440" s="203"/>
      <c r="BA440" s="203">
        <v>0</v>
      </c>
      <c r="BB440" s="191" t="s">
        <v>2033</v>
      </c>
      <c r="BC440" s="191"/>
      <c r="BD440" s="192">
        <v>2</v>
      </c>
      <c r="BE440" s="40"/>
      <c r="BF440" s="187"/>
      <c r="BG440" s="183"/>
      <c r="BH440" s="183"/>
    </row>
    <row r="441" spans="1:60" ht="30" hidden="1" customHeight="1">
      <c r="A441" s="168" t="s">
        <v>228</v>
      </c>
      <c r="B441" s="119" t="s">
        <v>2034</v>
      </c>
      <c r="C441" s="119" t="s">
        <v>2035</v>
      </c>
      <c r="D441" s="119"/>
      <c r="E441" s="118" t="s">
        <v>216</v>
      </c>
      <c r="F441" s="118" t="s">
        <v>217</v>
      </c>
      <c r="G441" s="119" t="s">
        <v>2036</v>
      </c>
      <c r="H441" s="119"/>
      <c r="I441" s="118"/>
      <c r="J441" s="41" t="s">
        <v>178</v>
      </c>
      <c r="K441" s="41">
        <v>2</v>
      </c>
      <c r="L441" s="41" t="s">
        <v>178</v>
      </c>
      <c r="M441" s="41">
        <v>2</v>
      </c>
      <c r="N441" s="39"/>
      <c r="O441" s="39"/>
      <c r="P441" s="5" t="s">
        <v>179</v>
      </c>
      <c r="Q441" s="41"/>
      <c r="R441" s="5" t="s">
        <v>112</v>
      </c>
      <c r="S441" s="41">
        <v>1</v>
      </c>
      <c r="T441" s="41" t="s">
        <v>801</v>
      </c>
      <c r="U441" s="41"/>
      <c r="V441" s="41"/>
      <c r="W441" s="174"/>
      <c r="X441" s="174"/>
      <c r="Y441" s="41"/>
      <c r="Z441" s="42" t="s">
        <v>817</v>
      </c>
      <c r="AA441" s="42" t="s">
        <v>2037</v>
      </c>
      <c r="AB441" s="42" t="s">
        <v>118</v>
      </c>
      <c r="AC441" s="42" t="s">
        <v>1036</v>
      </c>
      <c r="AD441" s="42"/>
      <c r="AE441" s="42"/>
      <c r="AF441" s="38">
        <f t="shared" si="14"/>
        <v>62</v>
      </c>
      <c r="AG441" s="39">
        <v>80</v>
      </c>
      <c r="AH441" s="39"/>
      <c r="AI441" s="39">
        <v>40</v>
      </c>
      <c r="AJ441" s="39"/>
      <c r="AK441" s="39">
        <v>40</v>
      </c>
      <c r="AL441" s="39"/>
      <c r="AM441" s="39">
        <v>100</v>
      </c>
      <c r="AN441" s="39" t="s">
        <v>2038</v>
      </c>
      <c r="AO441" s="63">
        <v>5.8</v>
      </c>
      <c r="AP441" s="58">
        <v>1600</v>
      </c>
      <c r="AQ441" s="58">
        <v>460</v>
      </c>
      <c r="AR441" s="58">
        <v>460</v>
      </c>
      <c r="AS441" s="30">
        <v>21344</v>
      </c>
      <c r="AT441" s="30">
        <v>18560</v>
      </c>
      <c r="AU441" s="30">
        <v>39904</v>
      </c>
      <c r="AV441" s="197">
        <v>21344</v>
      </c>
      <c r="AW441" s="197">
        <v>18560</v>
      </c>
      <c r="AX441" s="197">
        <v>39904</v>
      </c>
      <c r="AY441" s="203"/>
      <c r="AZ441" s="203"/>
      <c r="BA441" s="203">
        <v>0</v>
      </c>
      <c r="BB441" s="191" t="s">
        <v>2015</v>
      </c>
      <c r="BC441" s="191"/>
      <c r="BD441" s="41">
        <v>3</v>
      </c>
      <c r="BE441" s="40" t="s">
        <v>2039</v>
      </c>
      <c r="BF441" s="187"/>
      <c r="BG441" s="183"/>
      <c r="BH441" s="183"/>
    </row>
    <row r="442" spans="1:60" ht="30" hidden="1" customHeight="1">
      <c r="A442" s="168" t="s">
        <v>336</v>
      </c>
      <c r="B442" s="119" t="s">
        <v>2040</v>
      </c>
      <c r="C442" s="119" t="s">
        <v>2041</v>
      </c>
      <c r="D442" s="119"/>
      <c r="E442" s="118" t="s">
        <v>274</v>
      </c>
      <c r="F442" s="118" t="s">
        <v>275</v>
      </c>
      <c r="G442" s="119" t="s">
        <v>602</v>
      </c>
      <c r="H442" s="119"/>
      <c r="I442" s="118"/>
      <c r="J442" s="41" t="s">
        <v>178</v>
      </c>
      <c r="K442" s="41">
        <v>1</v>
      </c>
      <c r="L442" s="41" t="s">
        <v>178</v>
      </c>
      <c r="M442" s="41">
        <v>1</v>
      </c>
      <c r="N442" s="39"/>
      <c r="O442" s="39"/>
      <c r="P442" s="5" t="s">
        <v>179</v>
      </c>
      <c r="Q442" s="41"/>
      <c r="R442" s="5" t="s">
        <v>112</v>
      </c>
      <c r="S442" s="41">
        <v>3</v>
      </c>
      <c r="T442" s="41" t="s">
        <v>801</v>
      </c>
      <c r="U442" s="41"/>
      <c r="V442" s="41"/>
      <c r="W442" s="174"/>
      <c r="X442" s="174"/>
      <c r="Y442" s="41"/>
      <c r="Z442" s="42" t="s">
        <v>524</v>
      </c>
      <c r="AA442" s="37" t="s">
        <v>1022</v>
      </c>
      <c r="AB442" s="42" t="s">
        <v>345</v>
      </c>
      <c r="AC442" s="42" t="s">
        <v>1321</v>
      </c>
      <c r="AD442" s="51"/>
      <c r="AE442" s="51"/>
      <c r="AF442" s="38">
        <f t="shared" si="14"/>
        <v>62</v>
      </c>
      <c r="AG442" s="39">
        <v>60</v>
      </c>
      <c r="AH442" s="39"/>
      <c r="AI442" s="39">
        <v>80</v>
      </c>
      <c r="AJ442" s="39"/>
      <c r="AK442" s="39">
        <v>40</v>
      </c>
      <c r="AL442" s="39"/>
      <c r="AM442" s="39">
        <v>60</v>
      </c>
      <c r="AN442" s="39"/>
      <c r="AO442" s="63">
        <v>5.8</v>
      </c>
      <c r="AP442" s="58">
        <v>1600</v>
      </c>
      <c r="AQ442" s="58">
        <v>420</v>
      </c>
      <c r="AR442" s="58">
        <v>420</v>
      </c>
      <c r="AS442" s="30">
        <v>14616</v>
      </c>
      <c r="AT442" s="30">
        <v>9280</v>
      </c>
      <c r="AU442" s="30">
        <v>23896</v>
      </c>
      <c r="AV442" s="197">
        <v>14616</v>
      </c>
      <c r="AW442" s="197">
        <v>9280</v>
      </c>
      <c r="AX442" s="197">
        <v>23896</v>
      </c>
      <c r="AY442" s="203"/>
      <c r="AZ442" s="203"/>
      <c r="BA442" s="203">
        <v>0</v>
      </c>
      <c r="BB442" s="191" t="s">
        <v>277</v>
      </c>
      <c r="BC442" s="191"/>
      <c r="BD442" s="190">
        <v>3</v>
      </c>
      <c r="BE442" s="40"/>
      <c r="BF442" s="187"/>
      <c r="BG442" s="183"/>
      <c r="BH442" s="183"/>
    </row>
    <row r="443" spans="1:60" ht="30" hidden="1" customHeight="1">
      <c r="A443" s="168" t="s">
        <v>2042</v>
      </c>
      <c r="B443" s="119" t="s">
        <v>2043</v>
      </c>
      <c r="C443" s="119" t="s">
        <v>2044</v>
      </c>
      <c r="D443" s="119"/>
      <c r="E443" s="118" t="s">
        <v>165</v>
      </c>
      <c r="F443" s="118" t="s">
        <v>166</v>
      </c>
      <c r="G443" s="119" t="s">
        <v>2045</v>
      </c>
      <c r="H443" s="119"/>
      <c r="I443" s="118"/>
      <c r="J443" s="41" t="s">
        <v>178</v>
      </c>
      <c r="K443" s="41">
        <v>1</v>
      </c>
      <c r="L443" s="41" t="s">
        <v>178</v>
      </c>
      <c r="M443" s="41">
        <v>1</v>
      </c>
      <c r="N443" s="39"/>
      <c r="O443" s="39"/>
      <c r="P443" s="5" t="s">
        <v>179</v>
      </c>
      <c r="Q443" s="41"/>
      <c r="R443" s="5" t="s">
        <v>112</v>
      </c>
      <c r="S443" s="41">
        <v>5</v>
      </c>
      <c r="T443" s="41" t="s">
        <v>2046</v>
      </c>
      <c r="U443" s="41" t="s">
        <v>2047</v>
      </c>
      <c r="V443" s="41"/>
      <c r="W443" s="174"/>
      <c r="X443" s="174"/>
      <c r="Y443" s="41"/>
      <c r="Z443" s="42" t="s">
        <v>313</v>
      </c>
      <c r="AA443" s="42" t="s">
        <v>2048</v>
      </c>
      <c r="AB443" s="42"/>
      <c r="AC443" s="42" t="s">
        <v>1885</v>
      </c>
      <c r="AD443" s="42"/>
      <c r="AE443" s="42"/>
      <c r="AF443" s="38">
        <f t="shared" si="14"/>
        <v>62</v>
      </c>
      <c r="AG443" s="39">
        <v>60</v>
      </c>
      <c r="AH443" s="39" t="s">
        <v>2049</v>
      </c>
      <c r="AI443" s="39">
        <v>80</v>
      </c>
      <c r="AJ443" s="39"/>
      <c r="AK443" s="39">
        <v>40</v>
      </c>
      <c r="AL443" s="39"/>
      <c r="AM443" s="39">
        <v>60</v>
      </c>
      <c r="AN443" s="39" t="s">
        <v>865</v>
      </c>
      <c r="AO443" s="63">
        <v>5.8</v>
      </c>
      <c r="AP443" s="58">
        <v>1600</v>
      </c>
      <c r="AQ443" s="58">
        <v>350</v>
      </c>
      <c r="AR443" s="58">
        <v>350</v>
      </c>
      <c r="AS443" s="30">
        <v>16240</v>
      </c>
      <c r="AT443" s="30">
        <v>9280</v>
      </c>
      <c r="AU443" s="30">
        <v>25520</v>
      </c>
      <c r="AV443" s="197">
        <v>16240</v>
      </c>
      <c r="AW443" s="197">
        <v>9280</v>
      </c>
      <c r="AX443" s="197">
        <v>25520</v>
      </c>
      <c r="AY443" s="203"/>
      <c r="AZ443" s="203"/>
      <c r="BA443" s="203">
        <v>0</v>
      </c>
      <c r="BB443" s="191" t="s">
        <v>2050</v>
      </c>
      <c r="BC443" s="191"/>
      <c r="BD443" s="41">
        <v>3</v>
      </c>
      <c r="BE443" s="40"/>
      <c r="BF443" s="187"/>
      <c r="BG443" s="183"/>
      <c r="BH443" s="183"/>
    </row>
    <row r="444" spans="1:60" ht="30" hidden="1" customHeight="1">
      <c r="A444" s="168" t="s">
        <v>2051</v>
      </c>
      <c r="B444" s="119" t="s">
        <v>2052</v>
      </c>
      <c r="C444" s="119" t="s">
        <v>313</v>
      </c>
      <c r="D444" s="119"/>
      <c r="E444" s="118" t="s">
        <v>126</v>
      </c>
      <c r="F444" s="118" t="s">
        <v>127</v>
      </c>
      <c r="G444" s="119" t="s">
        <v>2053</v>
      </c>
      <c r="H444" s="119"/>
      <c r="I444" s="118"/>
      <c r="J444" s="41" t="s">
        <v>178</v>
      </c>
      <c r="K444" s="41">
        <v>0</v>
      </c>
      <c r="L444" s="41" t="s">
        <v>178</v>
      </c>
      <c r="M444" s="41">
        <v>0</v>
      </c>
      <c r="N444" s="39"/>
      <c r="O444" s="39"/>
      <c r="P444" s="5" t="s">
        <v>179</v>
      </c>
      <c r="Q444" s="41"/>
      <c r="R444" s="41" t="s">
        <v>112</v>
      </c>
      <c r="S444" s="41">
        <v>4</v>
      </c>
      <c r="T444" s="41" t="s">
        <v>924</v>
      </c>
      <c r="U444" s="41"/>
      <c r="V444" s="41" t="s">
        <v>115</v>
      </c>
      <c r="W444" s="174"/>
      <c r="X444" s="174"/>
      <c r="Y444" s="41"/>
      <c r="Z444" s="42" t="s">
        <v>313</v>
      </c>
      <c r="AA444" s="42" t="s">
        <v>2054</v>
      </c>
      <c r="AB444" s="42" t="s">
        <v>345</v>
      </c>
      <c r="AC444" s="42"/>
      <c r="AD444" s="42"/>
      <c r="AE444" s="42"/>
      <c r="AF444" s="38">
        <f t="shared" si="14"/>
        <v>62</v>
      </c>
      <c r="AG444" s="7">
        <v>60</v>
      </c>
      <c r="AH444" s="7"/>
      <c r="AI444" s="7">
        <v>80</v>
      </c>
      <c r="AJ444" s="7"/>
      <c r="AK444" s="7">
        <v>40</v>
      </c>
      <c r="AL444" s="7"/>
      <c r="AM444" s="7">
        <v>60</v>
      </c>
      <c r="AN444" s="7"/>
      <c r="AO444" s="63">
        <v>5.8</v>
      </c>
      <c r="AP444" s="58">
        <v>800</v>
      </c>
      <c r="AQ444" s="58">
        <v>280</v>
      </c>
      <c r="AR444" s="58">
        <v>280</v>
      </c>
      <c r="AS444" s="30">
        <v>0</v>
      </c>
      <c r="AT444" s="30">
        <v>0</v>
      </c>
      <c r="AU444" s="30">
        <v>0</v>
      </c>
      <c r="AV444" s="197">
        <v>0</v>
      </c>
      <c r="AW444" s="197">
        <v>0</v>
      </c>
      <c r="AX444" s="197">
        <v>0</v>
      </c>
      <c r="AY444" s="203"/>
      <c r="AZ444" s="203"/>
      <c r="BA444" s="203">
        <v>0</v>
      </c>
      <c r="BB444" s="191" t="s">
        <v>799</v>
      </c>
      <c r="BC444" s="191"/>
      <c r="BD444" s="189">
        <v>2</v>
      </c>
      <c r="BE444" s="40"/>
      <c r="BF444" s="187"/>
      <c r="BG444" s="183"/>
      <c r="BH444" s="183"/>
    </row>
    <row r="445" spans="1:60" ht="30" hidden="1" customHeight="1">
      <c r="A445" s="168" t="s">
        <v>122</v>
      </c>
      <c r="B445" s="119" t="s">
        <v>2055</v>
      </c>
      <c r="C445" s="119" t="s">
        <v>122</v>
      </c>
      <c r="D445" s="119"/>
      <c r="E445" s="118" t="s">
        <v>1604</v>
      </c>
      <c r="F445" s="117" t="s">
        <v>321</v>
      </c>
      <c r="G445" s="119"/>
      <c r="H445" s="119"/>
      <c r="I445" s="118"/>
      <c r="J445" s="5" t="s">
        <v>178</v>
      </c>
      <c r="K445" s="41">
        <v>1</v>
      </c>
      <c r="L445" s="5" t="s">
        <v>178</v>
      </c>
      <c r="M445" s="41">
        <v>1</v>
      </c>
      <c r="N445" s="39"/>
      <c r="O445" s="39"/>
      <c r="P445" s="5" t="s">
        <v>179</v>
      </c>
      <c r="Q445" s="41"/>
      <c r="R445" s="5" t="s">
        <v>112</v>
      </c>
      <c r="S445" s="41">
        <v>3</v>
      </c>
      <c r="T445" s="41" t="s">
        <v>218</v>
      </c>
      <c r="U445" s="41"/>
      <c r="V445" s="41"/>
      <c r="W445" s="174"/>
      <c r="X445" s="174"/>
      <c r="Y445" s="41"/>
      <c r="Z445" s="42" t="s">
        <v>313</v>
      </c>
      <c r="AA445" s="37" t="s">
        <v>2056</v>
      </c>
      <c r="AB445" s="42" t="s">
        <v>118</v>
      </c>
      <c r="AC445" s="42"/>
      <c r="AD445" s="51"/>
      <c r="AE445" s="51"/>
      <c r="AF445" s="38">
        <f t="shared" si="14"/>
        <v>62</v>
      </c>
      <c r="AG445" s="39">
        <v>60</v>
      </c>
      <c r="AH445" s="39"/>
      <c r="AI445" s="39">
        <v>80</v>
      </c>
      <c r="AJ445" s="39" t="s">
        <v>1089</v>
      </c>
      <c r="AK445" s="39">
        <v>40</v>
      </c>
      <c r="AL445" s="39"/>
      <c r="AM445" s="39">
        <v>60</v>
      </c>
      <c r="AN445" s="39"/>
      <c r="AO445" s="63">
        <v>5.8</v>
      </c>
      <c r="AP445" s="58">
        <v>1600</v>
      </c>
      <c r="AQ445" s="58">
        <v>330</v>
      </c>
      <c r="AR445" s="58">
        <v>330</v>
      </c>
      <c r="AS445" s="30">
        <v>11484</v>
      </c>
      <c r="AT445" s="30">
        <v>9280</v>
      </c>
      <c r="AU445" s="30">
        <v>20764</v>
      </c>
      <c r="AV445" s="197">
        <v>11484</v>
      </c>
      <c r="AW445" s="197">
        <v>9280</v>
      </c>
      <c r="AX445" s="197">
        <v>20764</v>
      </c>
      <c r="AY445" s="203"/>
      <c r="AZ445" s="203"/>
      <c r="BA445" s="203">
        <v>0</v>
      </c>
      <c r="BB445" s="191" t="s">
        <v>2057</v>
      </c>
      <c r="BC445" s="191"/>
      <c r="BD445" s="190">
        <v>3</v>
      </c>
      <c r="BE445" s="40"/>
      <c r="BF445" s="187"/>
      <c r="BG445" s="183"/>
      <c r="BH445" s="183"/>
    </row>
    <row r="446" spans="1:60" ht="30" hidden="1" customHeight="1">
      <c r="A446" s="168" t="s">
        <v>2019</v>
      </c>
      <c r="B446" s="119" t="s">
        <v>2020</v>
      </c>
      <c r="C446" s="119" t="s">
        <v>2058</v>
      </c>
      <c r="D446" s="119"/>
      <c r="E446" s="118" t="s">
        <v>216</v>
      </c>
      <c r="F446" s="117" t="s">
        <v>217</v>
      </c>
      <c r="G446" s="119" t="s">
        <v>2059</v>
      </c>
      <c r="H446" s="119"/>
      <c r="I446" s="118"/>
      <c r="J446" s="41" t="s">
        <v>178</v>
      </c>
      <c r="K446" s="41">
        <v>2</v>
      </c>
      <c r="L446" s="41" t="s">
        <v>178</v>
      </c>
      <c r="M446" s="41">
        <v>2</v>
      </c>
      <c r="N446" s="39"/>
      <c r="O446" s="39"/>
      <c r="P446" s="5" t="s">
        <v>179</v>
      </c>
      <c r="Q446" s="41"/>
      <c r="R446" s="5" t="s">
        <v>112</v>
      </c>
      <c r="S446" s="41">
        <v>3</v>
      </c>
      <c r="T446" s="41" t="s">
        <v>139</v>
      </c>
      <c r="U446" s="41"/>
      <c r="V446" s="41"/>
      <c r="W446" s="174"/>
      <c r="X446" s="174"/>
      <c r="Y446" s="41"/>
      <c r="Z446" s="42" t="s">
        <v>524</v>
      </c>
      <c r="AA446" s="42" t="s">
        <v>2060</v>
      </c>
      <c r="AB446" s="42" t="s">
        <v>782</v>
      </c>
      <c r="AC446" s="42"/>
      <c r="AD446" s="42"/>
      <c r="AE446" s="42"/>
      <c r="AF446" s="38">
        <f t="shared" si="14"/>
        <v>60</v>
      </c>
      <c r="AG446" s="39">
        <v>60</v>
      </c>
      <c r="AH446" s="39"/>
      <c r="AI446" s="39">
        <v>80</v>
      </c>
      <c r="AJ446" s="39"/>
      <c r="AK446" s="39">
        <v>40</v>
      </c>
      <c r="AL446" s="39"/>
      <c r="AM446" s="39">
        <v>40</v>
      </c>
      <c r="AN446" s="39"/>
      <c r="AO446" s="63">
        <v>5.8</v>
      </c>
      <c r="AP446" s="58">
        <v>1600</v>
      </c>
      <c r="AQ446" s="58">
        <v>420</v>
      </c>
      <c r="AR446" s="58">
        <v>420</v>
      </c>
      <c r="AS446" s="30">
        <v>29232</v>
      </c>
      <c r="AT446" s="30">
        <v>18560</v>
      </c>
      <c r="AU446" s="30">
        <v>47792</v>
      </c>
      <c r="AV446" s="197">
        <v>29232</v>
      </c>
      <c r="AW446" s="197">
        <v>18560</v>
      </c>
      <c r="AX446" s="197">
        <v>47792</v>
      </c>
      <c r="AY446" s="203"/>
      <c r="AZ446" s="203"/>
      <c r="BA446" s="203">
        <v>0</v>
      </c>
      <c r="BB446" s="191" t="s">
        <v>694</v>
      </c>
      <c r="BC446" s="191"/>
      <c r="BD446" s="189">
        <v>3</v>
      </c>
      <c r="BE446" s="40" t="s">
        <v>695</v>
      </c>
      <c r="BF446" s="187"/>
      <c r="BG446" s="183"/>
      <c r="BH446" s="183"/>
    </row>
    <row r="447" spans="1:60" ht="30" hidden="1" customHeight="1">
      <c r="A447" s="168" t="s">
        <v>2019</v>
      </c>
      <c r="B447" s="119" t="s">
        <v>2020</v>
      </c>
      <c r="C447" s="119" t="s">
        <v>2005</v>
      </c>
      <c r="D447" s="119"/>
      <c r="E447" s="118" t="s">
        <v>176</v>
      </c>
      <c r="F447" s="118" t="s">
        <v>651</v>
      </c>
      <c r="G447" s="119" t="s">
        <v>2059</v>
      </c>
      <c r="H447" s="119"/>
      <c r="I447" s="118"/>
      <c r="J447" s="41" t="s">
        <v>178</v>
      </c>
      <c r="K447" s="41">
        <v>2</v>
      </c>
      <c r="L447" s="41" t="s">
        <v>178</v>
      </c>
      <c r="M447" s="41">
        <v>2</v>
      </c>
      <c r="N447" s="39"/>
      <c r="O447" s="39"/>
      <c r="P447" s="5" t="s">
        <v>179</v>
      </c>
      <c r="Q447" s="41"/>
      <c r="R447" s="5" t="s">
        <v>112</v>
      </c>
      <c r="S447" s="41">
        <v>4</v>
      </c>
      <c r="T447" s="41" t="s">
        <v>139</v>
      </c>
      <c r="U447" s="41"/>
      <c r="V447" s="41"/>
      <c r="W447" s="174"/>
      <c r="X447" s="174"/>
      <c r="Y447" s="41"/>
      <c r="Z447" s="42" t="s">
        <v>313</v>
      </c>
      <c r="AA447" s="42" t="s">
        <v>2061</v>
      </c>
      <c r="AB447" s="42" t="s">
        <v>345</v>
      </c>
      <c r="AC447" s="42" t="s">
        <v>1882</v>
      </c>
      <c r="AD447" s="42"/>
      <c r="AE447" s="42"/>
      <c r="AF447" s="38">
        <f t="shared" si="14"/>
        <v>60</v>
      </c>
      <c r="AG447" s="39">
        <v>60</v>
      </c>
      <c r="AH447" s="39"/>
      <c r="AI447" s="39">
        <v>80</v>
      </c>
      <c r="AJ447" s="39"/>
      <c r="AK447" s="39">
        <v>40</v>
      </c>
      <c r="AL447" s="39"/>
      <c r="AM447" s="39">
        <v>40</v>
      </c>
      <c r="AN447" s="39"/>
      <c r="AO447" s="63">
        <v>5.8</v>
      </c>
      <c r="AP447" s="58">
        <v>1600</v>
      </c>
      <c r="AQ447" s="58">
        <v>420</v>
      </c>
      <c r="AR447" s="58">
        <v>420</v>
      </c>
      <c r="AS447" s="30">
        <v>34104</v>
      </c>
      <c r="AT447" s="30">
        <v>18560</v>
      </c>
      <c r="AU447" s="30">
        <v>52664</v>
      </c>
      <c r="AV447" s="197">
        <v>34104</v>
      </c>
      <c r="AW447" s="197">
        <v>18560</v>
      </c>
      <c r="AX447" s="197">
        <v>52664</v>
      </c>
      <c r="AY447" s="203"/>
      <c r="AZ447" s="203"/>
      <c r="BA447" s="203">
        <v>0</v>
      </c>
      <c r="BB447" s="191" t="s">
        <v>2062</v>
      </c>
      <c r="BC447" s="191"/>
      <c r="BD447" s="189">
        <v>3</v>
      </c>
      <c r="BE447" s="40" t="s">
        <v>1597</v>
      </c>
      <c r="BF447" s="187"/>
      <c r="BG447" s="183"/>
      <c r="BH447" s="183"/>
    </row>
    <row r="448" spans="1:60" ht="30" hidden="1" customHeight="1">
      <c r="A448" s="168" t="s">
        <v>239</v>
      </c>
      <c r="B448" s="119" t="s">
        <v>2063</v>
      </c>
      <c r="C448" s="119">
        <v>2025</v>
      </c>
      <c r="D448" s="119"/>
      <c r="E448" s="118" t="s">
        <v>107</v>
      </c>
      <c r="F448" s="118" t="s">
        <v>108</v>
      </c>
      <c r="G448" s="119"/>
      <c r="H448" s="119"/>
      <c r="I448" s="118"/>
      <c r="J448" s="41" t="s">
        <v>178</v>
      </c>
      <c r="K448" s="41">
        <v>1</v>
      </c>
      <c r="L448" s="41" t="s">
        <v>178</v>
      </c>
      <c r="M448" s="41">
        <v>1</v>
      </c>
      <c r="N448" s="39"/>
      <c r="O448" s="39"/>
      <c r="P448" s="5" t="s">
        <v>179</v>
      </c>
      <c r="Q448" s="41"/>
      <c r="R448" s="5" t="s">
        <v>112</v>
      </c>
      <c r="S448" s="41">
        <v>4</v>
      </c>
      <c r="T448" s="41" t="s">
        <v>139</v>
      </c>
      <c r="U448" s="41"/>
      <c r="V448" s="41"/>
      <c r="W448" s="174"/>
      <c r="X448" s="174"/>
      <c r="Y448" s="41"/>
      <c r="Z448" s="42" t="s">
        <v>141</v>
      </c>
      <c r="AA448" s="42" t="s">
        <v>2064</v>
      </c>
      <c r="AB448" s="42" t="s">
        <v>118</v>
      </c>
      <c r="AC448" s="42" t="s">
        <v>119</v>
      </c>
      <c r="AD448" s="42"/>
      <c r="AE448" s="42"/>
      <c r="AF448" s="38">
        <f t="shared" si="14"/>
        <v>60</v>
      </c>
      <c r="AG448" s="39">
        <v>60</v>
      </c>
      <c r="AH448" s="39"/>
      <c r="AI448" s="39">
        <v>80</v>
      </c>
      <c r="AJ448" s="39"/>
      <c r="AK448" s="39">
        <v>40</v>
      </c>
      <c r="AL448" s="39"/>
      <c r="AM448" s="39">
        <v>40</v>
      </c>
      <c r="AN448" s="39"/>
      <c r="AO448" s="63">
        <v>5.8</v>
      </c>
      <c r="AP448" s="58">
        <v>1600</v>
      </c>
      <c r="AQ448" s="58">
        <v>370</v>
      </c>
      <c r="AR448" s="58">
        <v>370</v>
      </c>
      <c r="AS448" s="30">
        <v>15022</v>
      </c>
      <c r="AT448" s="30">
        <v>9280</v>
      </c>
      <c r="AU448" s="30">
        <v>24302</v>
      </c>
      <c r="AV448" s="197">
        <v>15022</v>
      </c>
      <c r="AW448" s="197">
        <v>9280</v>
      </c>
      <c r="AX448" s="197">
        <v>24302</v>
      </c>
      <c r="AY448" s="203"/>
      <c r="AZ448" s="203"/>
      <c r="BA448" s="203">
        <v>0</v>
      </c>
      <c r="BB448" s="191" t="s">
        <v>2065</v>
      </c>
      <c r="BC448" s="191"/>
      <c r="BD448" s="192">
        <v>3</v>
      </c>
      <c r="BE448" s="40" t="s">
        <v>803</v>
      </c>
      <c r="BF448" s="187"/>
      <c r="BG448" s="183"/>
      <c r="BH448" s="183"/>
    </row>
    <row r="449" spans="1:60" ht="30" hidden="1" customHeight="1">
      <c r="A449" s="168" t="s">
        <v>421</v>
      </c>
      <c r="B449" s="119" t="s">
        <v>2066</v>
      </c>
      <c r="C449" s="119" t="s">
        <v>1467</v>
      </c>
      <c r="D449" s="119" t="s">
        <v>2067</v>
      </c>
      <c r="E449" s="118" t="s">
        <v>107</v>
      </c>
      <c r="F449" s="117" t="s">
        <v>108</v>
      </c>
      <c r="G449" s="119" t="s">
        <v>2068</v>
      </c>
      <c r="H449" s="119"/>
      <c r="I449" s="118"/>
      <c r="J449" s="41" t="s">
        <v>178</v>
      </c>
      <c r="K449" s="41">
        <v>1</v>
      </c>
      <c r="L449" s="41" t="s">
        <v>178</v>
      </c>
      <c r="M449" s="41">
        <v>1</v>
      </c>
      <c r="N449" s="39" t="s">
        <v>115</v>
      </c>
      <c r="O449" s="39">
        <v>1</v>
      </c>
      <c r="P449" s="5" t="s">
        <v>179</v>
      </c>
      <c r="Q449" s="41"/>
      <c r="R449" s="5" t="s">
        <v>112</v>
      </c>
      <c r="S449" s="41">
        <v>5</v>
      </c>
      <c r="T449" s="41" t="s">
        <v>801</v>
      </c>
      <c r="U449" s="41"/>
      <c r="V449" s="41"/>
      <c r="W449" s="175">
        <v>45992</v>
      </c>
      <c r="X449" s="175">
        <v>45992</v>
      </c>
      <c r="Y449" s="41"/>
      <c r="Z449" s="42" t="s">
        <v>141</v>
      </c>
      <c r="AA449" s="37" t="s">
        <v>426</v>
      </c>
      <c r="AB449" s="42" t="s">
        <v>118</v>
      </c>
      <c r="AC449" s="42" t="s">
        <v>427</v>
      </c>
      <c r="AD449" s="51"/>
      <c r="AE449" s="51"/>
      <c r="AF449" s="38">
        <f t="shared" si="14"/>
        <v>60</v>
      </c>
      <c r="AG449" s="39">
        <v>80</v>
      </c>
      <c r="AH449" s="39"/>
      <c r="AI449" s="39">
        <v>40</v>
      </c>
      <c r="AJ449" s="39"/>
      <c r="AK449" s="39">
        <v>40</v>
      </c>
      <c r="AL449" s="39"/>
      <c r="AM449" s="39">
        <v>80</v>
      </c>
      <c r="AN449" s="39"/>
      <c r="AO449" s="63">
        <v>5.8</v>
      </c>
      <c r="AP449" s="58">
        <v>1600</v>
      </c>
      <c r="AQ449" s="58">
        <v>420</v>
      </c>
      <c r="AR449" s="58">
        <v>420</v>
      </c>
      <c r="AS449" s="30">
        <v>19488</v>
      </c>
      <c r="AT449" s="30">
        <v>9280</v>
      </c>
      <c r="AU449" s="30">
        <v>28768</v>
      </c>
      <c r="AV449" s="197">
        <v>19488</v>
      </c>
      <c r="AW449" s="197">
        <v>9280</v>
      </c>
      <c r="AX449" s="197">
        <v>28768</v>
      </c>
      <c r="AY449" s="203"/>
      <c r="AZ449" s="203"/>
      <c r="BA449" s="203">
        <v>0</v>
      </c>
      <c r="BB449" s="191" t="s">
        <v>430</v>
      </c>
      <c r="BC449" s="191"/>
      <c r="BD449" s="192">
        <v>3</v>
      </c>
      <c r="BE449" s="40"/>
      <c r="BF449" s="187"/>
      <c r="BG449" s="183"/>
      <c r="BH449" s="183"/>
    </row>
    <row r="450" spans="1:60" ht="30" hidden="1" customHeight="1">
      <c r="A450" s="168" t="s">
        <v>135</v>
      </c>
      <c r="B450" s="119" t="s">
        <v>2069</v>
      </c>
      <c r="C450" s="119" t="s">
        <v>1115</v>
      </c>
      <c r="D450" s="119"/>
      <c r="E450" s="118" t="s">
        <v>107</v>
      </c>
      <c r="F450" s="117" t="s">
        <v>108</v>
      </c>
      <c r="G450" s="119"/>
      <c r="H450" s="119"/>
      <c r="I450" s="118"/>
      <c r="J450" s="41" t="s">
        <v>178</v>
      </c>
      <c r="K450" s="41">
        <v>1</v>
      </c>
      <c r="L450" s="41" t="s">
        <v>178</v>
      </c>
      <c r="M450" s="41">
        <v>1</v>
      </c>
      <c r="N450" s="39"/>
      <c r="O450" s="39"/>
      <c r="P450" s="5" t="s">
        <v>179</v>
      </c>
      <c r="Q450" s="41"/>
      <c r="R450" s="41" t="s">
        <v>112</v>
      </c>
      <c r="S450" s="41">
        <v>4</v>
      </c>
      <c r="T450" s="41" t="s">
        <v>139</v>
      </c>
      <c r="U450" s="41"/>
      <c r="V450" s="41"/>
      <c r="W450" s="174"/>
      <c r="X450" s="174"/>
      <c r="Y450" s="41"/>
      <c r="Z450" s="42" t="s">
        <v>141</v>
      </c>
      <c r="AA450" s="42" t="s">
        <v>640</v>
      </c>
      <c r="AB450" s="42" t="s">
        <v>118</v>
      </c>
      <c r="AC450" s="42" t="s">
        <v>119</v>
      </c>
      <c r="AD450" s="42"/>
      <c r="AE450" s="42"/>
      <c r="AF450" s="38">
        <f t="shared" si="14"/>
        <v>60</v>
      </c>
      <c r="AG450" s="7">
        <v>40</v>
      </c>
      <c r="AH450" s="7" t="s">
        <v>633</v>
      </c>
      <c r="AI450" s="7">
        <v>80</v>
      </c>
      <c r="AJ450" s="7" t="s">
        <v>634</v>
      </c>
      <c r="AK450" s="7">
        <v>60</v>
      </c>
      <c r="AL450" s="7" t="s">
        <v>635</v>
      </c>
      <c r="AM450" s="7">
        <v>80</v>
      </c>
      <c r="AN450" s="7" t="s">
        <v>146</v>
      </c>
      <c r="AO450" s="63">
        <v>5.8</v>
      </c>
      <c r="AP450" s="58">
        <v>1600</v>
      </c>
      <c r="AQ450" s="58">
        <v>420</v>
      </c>
      <c r="AR450" s="58">
        <v>420</v>
      </c>
      <c r="AS450" s="30">
        <v>17052</v>
      </c>
      <c r="AT450" s="30">
        <v>9280</v>
      </c>
      <c r="AU450" s="30">
        <v>26332</v>
      </c>
      <c r="AV450" s="197">
        <v>17052</v>
      </c>
      <c r="AW450" s="197">
        <v>9280</v>
      </c>
      <c r="AX450" s="197">
        <v>26332</v>
      </c>
      <c r="AY450" s="203"/>
      <c r="AZ450" s="203"/>
      <c r="BA450" s="203">
        <v>0</v>
      </c>
      <c r="BB450" s="191" t="s">
        <v>641</v>
      </c>
      <c r="BC450" s="191"/>
      <c r="BD450" s="190">
        <v>3</v>
      </c>
      <c r="BE450" s="40" t="s">
        <v>803</v>
      </c>
      <c r="BF450" s="187"/>
      <c r="BG450" s="183"/>
      <c r="BH450" s="183"/>
    </row>
    <row r="451" spans="1:60" ht="30" hidden="1" customHeight="1">
      <c r="A451" s="168" t="s">
        <v>122</v>
      </c>
      <c r="B451" s="119" t="s">
        <v>2070</v>
      </c>
      <c r="C451" s="119" t="s">
        <v>1273</v>
      </c>
      <c r="D451" s="119"/>
      <c r="E451" s="118" t="s">
        <v>107</v>
      </c>
      <c r="F451" s="117" t="s">
        <v>108</v>
      </c>
      <c r="G451" s="119"/>
      <c r="H451" s="119"/>
      <c r="I451" s="118"/>
      <c r="J451" s="41" t="s">
        <v>178</v>
      </c>
      <c r="K451" s="41">
        <v>1</v>
      </c>
      <c r="L451" s="41" t="s">
        <v>178</v>
      </c>
      <c r="M451" s="41">
        <v>1</v>
      </c>
      <c r="N451" s="39"/>
      <c r="O451" s="39"/>
      <c r="P451" s="5" t="s">
        <v>179</v>
      </c>
      <c r="Q451" s="41"/>
      <c r="R451" s="41" t="s">
        <v>112</v>
      </c>
      <c r="S451" s="41">
        <v>5</v>
      </c>
      <c r="T451" s="41" t="s">
        <v>218</v>
      </c>
      <c r="U451" s="41"/>
      <c r="V451" s="41"/>
      <c r="W451" s="174"/>
      <c r="X451" s="174"/>
      <c r="Y451" s="41"/>
      <c r="Z451" s="42" t="s">
        <v>116</v>
      </c>
      <c r="AA451" s="42" t="s">
        <v>1135</v>
      </c>
      <c r="AB451" s="42" t="s">
        <v>118</v>
      </c>
      <c r="AC451" s="42" t="s">
        <v>446</v>
      </c>
      <c r="AD451" s="42"/>
      <c r="AE451" s="42"/>
      <c r="AF451" s="38">
        <f t="shared" si="14"/>
        <v>60</v>
      </c>
      <c r="AG451" s="39">
        <v>80</v>
      </c>
      <c r="AH451" s="39"/>
      <c r="AI451" s="39">
        <v>40</v>
      </c>
      <c r="AJ451" s="39"/>
      <c r="AK451" s="39">
        <v>40</v>
      </c>
      <c r="AL451" s="39"/>
      <c r="AM451" s="39">
        <v>80</v>
      </c>
      <c r="AN451" s="39"/>
      <c r="AO451" s="63">
        <v>5.8</v>
      </c>
      <c r="AP451" s="58">
        <v>1600</v>
      </c>
      <c r="AQ451" s="58">
        <v>330</v>
      </c>
      <c r="AR451" s="58">
        <v>330</v>
      </c>
      <c r="AS451" s="30">
        <v>15312</v>
      </c>
      <c r="AT451" s="30">
        <v>9280</v>
      </c>
      <c r="AU451" s="30">
        <v>24592</v>
      </c>
      <c r="AV451" s="197">
        <v>15312</v>
      </c>
      <c r="AW451" s="197">
        <v>9280</v>
      </c>
      <c r="AX451" s="197">
        <v>24592</v>
      </c>
      <c r="AY451" s="203"/>
      <c r="AZ451" s="203"/>
      <c r="BA451" s="203">
        <v>0</v>
      </c>
      <c r="BB451" s="191" t="s">
        <v>1795</v>
      </c>
      <c r="BC451" s="191"/>
      <c r="BD451" s="192">
        <v>3</v>
      </c>
      <c r="BE451" s="40" t="s">
        <v>2071</v>
      </c>
      <c r="BF451" s="187"/>
      <c r="BG451" s="183"/>
      <c r="BH451" s="183"/>
    </row>
    <row r="452" spans="1:60" ht="30" hidden="1" customHeight="1">
      <c r="A452" s="168" t="s">
        <v>421</v>
      </c>
      <c r="B452" s="119" t="s">
        <v>2072</v>
      </c>
      <c r="C452" s="119" t="s">
        <v>1355</v>
      </c>
      <c r="D452" s="119"/>
      <c r="E452" s="118" t="s">
        <v>107</v>
      </c>
      <c r="F452" s="117" t="s">
        <v>108</v>
      </c>
      <c r="G452" s="119" t="s">
        <v>178</v>
      </c>
      <c r="H452" s="119"/>
      <c r="I452" s="118"/>
      <c r="J452" s="41" t="s">
        <v>178</v>
      </c>
      <c r="K452" s="41">
        <v>2</v>
      </c>
      <c r="L452" s="41" t="s">
        <v>178</v>
      </c>
      <c r="M452" s="41">
        <v>2</v>
      </c>
      <c r="N452" s="39"/>
      <c r="O452" s="39"/>
      <c r="P452" s="5" t="s">
        <v>179</v>
      </c>
      <c r="Q452" s="41"/>
      <c r="R452" s="5" t="s">
        <v>112</v>
      </c>
      <c r="S452" s="41">
        <v>3</v>
      </c>
      <c r="T452" s="41" t="s">
        <v>801</v>
      </c>
      <c r="U452" s="41"/>
      <c r="V452" s="41"/>
      <c r="W452" s="174"/>
      <c r="X452" s="174"/>
      <c r="Y452" s="41"/>
      <c r="Z452" s="42" t="s">
        <v>141</v>
      </c>
      <c r="AA452" s="37" t="s">
        <v>2073</v>
      </c>
      <c r="AB452" s="42" t="s">
        <v>118</v>
      </c>
      <c r="AC452" s="42" t="s">
        <v>427</v>
      </c>
      <c r="AD452" s="51"/>
      <c r="AE452" s="51"/>
      <c r="AF452" s="38">
        <f t="shared" si="14"/>
        <v>60</v>
      </c>
      <c r="AG452" s="39">
        <v>80</v>
      </c>
      <c r="AH452" s="39" t="s">
        <v>1843</v>
      </c>
      <c r="AI452" s="39">
        <v>40</v>
      </c>
      <c r="AJ452" s="39"/>
      <c r="AK452" s="39">
        <v>40</v>
      </c>
      <c r="AL452" s="39" t="s">
        <v>1278</v>
      </c>
      <c r="AM452" s="39">
        <v>80</v>
      </c>
      <c r="AN452" s="39"/>
      <c r="AO452" s="63">
        <v>5.8</v>
      </c>
      <c r="AP452" s="58">
        <v>1600</v>
      </c>
      <c r="AQ452" s="58">
        <f>AVERAGE(390,370)</f>
        <v>380</v>
      </c>
      <c r="AR452" s="58">
        <f>AVERAGE(390,370)</f>
        <v>380</v>
      </c>
      <c r="AS452" s="30">
        <v>26448</v>
      </c>
      <c r="AT452" s="30">
        <v>18560</v>
      </c>
      <c r="AU452" s="30">
        <v>45008</v>
      </c>
      <c r="AV452" s="197">
        <v>26448</v>
      </c>
      <c r="AW452" s="197">
        <v>18560</v>
      </c>
      <c r="AX452" s="197">
        <v>45008</v>
      </c>
      <c r="AY452" s="203"/>
      <c r="AZ452" s="203"/>
      <c r="BA452" s="203">
        <v>0</v>
      </c>
      <c r="BB452" s="191" t="s">
        <v>2074</v>
      </c>
      <c r="BC452" s="191"/>
      <c r="BD452" s="192">
        <v>3</v>
      </c>
      <c r="BE452" s="40"/>
      <c r="BF452" s="187"/>
      <c r="BG452" s="183"/>
      <c r="BH452" s="183"/>
    </row>
    <row r="453" spans="1:60" ht="30" hidden="1" customHeight="1">
      <c r="A453" s="168" t="s">
        <v>735</v>
      </c>
      <c r="B453" s="119" t="s">
        <v>736</v>
      </c>
      <c r="C453" s="119" t="s">
        <v>737</v>
      </c>
      <c r="D453" s="119"/>
      <c r="E453" s="118" t="s">
        <v>176</v>
      </c>
      <c r="F453" s="117" t="s">
        <v>152</v>
      </c>
      <c r="G453" s="119" t="s">
        <v>2075</v>
      </c>
      <c r="H453" s="119" t="s">
        <v>740</v>
      </c>
      <c r="I453" s="118"/>
      <c r="J453" s="41" t="s">
        <v>110</v>
      </c>
      <c r="K453" s="41">
        <v>1</v>
      </c>
      <c r="L453" s="41" t="s">
        <v>178</v>
      </c>
      <c r="M453" s="41">
        <v>1</v>
      </c>
      <c r="N453" s="39"/>
      <c r="O453" s="39"/>
      <c r="P453" s="5" t="s">
        <v>179</v>
      </c>
      <c r="Q453" s="41"/>
      <c r="R453" s="5" t="s">
        <v>112</v>
      </c>
      <c r="S453" s="41">
        <v>5</v>
      </c>
      <c r="T453" s="41" t="s">
        <v>295</v>
      </c>
      <c r="U453" s="41"/>
      <c r="V453" s="41" t="s">
        <v>115</v>
      </c>
      <c r="W453" s="174"/>
      <c r="X453" s="174"/>
      <c r="Y453" s="41"/>
      <c r="Z453" s="42" t="s">
        <v>141</v>
      </c>
      <c r="AA453" s="42" t="s">
        <v>2076</v>
      </c>
      <c r="AB453" s="42" t="s">
        <v>118</v>
      </c>
      <c r="AC453" s="42" t="s">
        <v>2077</v>
      </c>
      <c r="AD453" s="42"/>
      <c r="AE453" s="42"/>
      <c r="AF453" s="38">
        <f t="shared" si="14"/>
        <v>60</v>
      </c>
      <c r="AG453" s="39">
        <v>60</v>
      </c>
      <c r="AH453" s="39"/>
      <c r="AI453" s="39">
        <v>40</v>
      </c>
      <c r="AJ453" s="39"/>
      <c r="AK453" s="39">
        <v>80</v>
      </c>
      <c r="AL453" s="39"/>
      <c r="AM453" s="39">
        <v>80</v>
      </c>
      <c r="AN453" s="39"/>
      <c r="AO453" s="63">
        <v>5.8</v>
      </c>
      <c r="AP453" s="58">
        <v>800</v>
      </c>
      <c r="AQ453" s="58">
        <v>280</v>
      </c>
      <c r="AR453" s="58">
        <v>280</v>
      </c>
      <c r="AS453" s="30">
        <v>11368</v>
      </c>
      <c r="AT453" s="30">
        <v>4640</v>
      </c>
      <c r="AU453" s="30">
        <v>16008</v>
      </c>
      <c r="AV453" s="197">
        <v>11368</v>
      </c>
      <c r="AW453" s="197">
        <v>4640</v>
      </c>
      <c r="AX453" s="197">
        <v>16008</v>
      </c>
      <c r="AY453" s="203"/>
      <c r="AZ453" s="203"/>
      <c r="BA453" s="203">
        <v>0</v>
      </c>
      <c r="BB453" s="191" t="s">
        <v>1119</v>
      </c>
      <c r="BC453" s="191"/>
      <c r="BD453" s="41">
        <v>2</v>
      </c>
      <c r="BE453" s="40" t="s">
        <v>182</v>
      </c>
      <c r="BF453" s="187"/>
      <c r="BG453" s="183"/>
      <c r="BH453" s="183"/>
    </row>
    <row r="454" spans="1:60" ht="30" hidden="1" customHeight="1">
      <c r="A454" s="168" t="s">
        <v>1293</v>
      </c>
      <c r="B454" s="119" t="s">
        <v>2078</v>
      </c>
      <c r="C454" s="119">
        <v>2025</v>
      </c>
      <c r="D454" s="119"/>
      <c r="E454" s="118" t="s">
        <v>434</v>
      </c>
      <c r="F454" s="117" t="s">
        <v>152</v>
      </c>
      <c r="G454" s="119"/>
      <c r="H454" s="119"/>
      <c r="I454" s="118"/>
      <c r="J454" s="5" t="s">
        <v>110</v>
      </c>
      <c r="K454" s="41">
        <v>1</v>
      </c>
      <c r="L454" s="5" t="s">
        <v>178</v>
      </c>
      <c r="M454" s="41">
        <v>1</v>
      </c>
      <c r="N454" s="39"/>
      <c r="O454" s="39"/>
      <c r="P454" s="5" t="s">
        <v>179</v>
      </c>
      <c r="Q454" s="41"/>
      <c r="R454" s="5" t="s">
        <v>112</v>
      </c>
      <c r="S454" s="41">
        <v>3</v>
      </c>
      <c r="T454" s="41" t="s">
        <v>801</v>
      </c>
      <c r="U454" s="41"/>
      <c r="V454" s="41"/>
      <c r="W454" s="174"/>
      <c r="X454" s="174"/>
      <c r="Y454" s="41"/>
      <c r="Z454" s="42" t="s">
        <v>313</v>
      </c>
      <c r="AA454" s="42" t="s">
        <v>2079</v>
      </c>
      <c r="AB454" s="42" t="s">
        <v>345</v>
      </c>
      <c r="AC454" s="42"/>
      <c r="AD454" s="42"/>
      <c r="AE454" s="42"/>
      <c r="AF454" s="38">
        <f t="shared" si="14"/>
        <v>60</v>
      </c>
      <c r="AG454" s="39">
        <v>60</v>
      </c>
      <c r="AH454" s="39"/>
      <c r="AI454" s="39">
        <v>80</v>
      </c>
      <c r="AJ454" s="39"/>
      <c r="AK454" s="39">
        <v>40</v>
      </c>
      <c r="AL454" s="39"/>
      <c r="AM454" s="39">
        <v>40</v>
      </c>
      <c r="AN454" s="39"/>
      <c r="AO454" s="63">
        <v>5.8</v>
      </c>
      <c r="AP454" s="58">
        <v>1600</v>
      </c>
      <c r="AQ454" s="58">
        <v>420</v>
      </c>
      <c r="AR454" s="58">
        <v>420</v>
      </c>
      <c r="AS454" s="30">
        <v>14616</v>
      </c>
      <c r="AT454" s="30">
        <v>9280</v>
      </c>
      <c r="AU454" s="30">
        <v>23896</v>
      </c>
      <c r="AV454" s="197">
        <v>14616</v>
      </c>
      <c r="AW454" s="197">
        <v>9280</v>
      </c>
      <c r="AX454" s="197">
        <v>23896</v>
      </c>
      <c r="AY454" s="203"/>
      <c r="AZ454" s="203"/>
      <c r="BA454" s="203">
        <v>0</v>
      </c>
      <c r="BB454" s="191" t="s">
        <v>799</v>
      </c>
      <c r="BC454" s="191"/>
      <c r="BD454" s="189">
        <v>3</v>
      </c>
      <c r="BE454" s="40"/>
      <c r="BF454" s="187"/>
      <c r="BG454" s="183"/>
      <c r="BH454" s="183"/>
    </row>
    <row r="455" spans="1:60" ht="30" hidden="1" customHeight="1">
      <c r="A455" s="168" t="s">
        <v>2080</v>
      </c>
      <c r="B455" s="119" t="s">
        <v>2081</v>
      </c>
      <c r="C455" s="119">
        <v>2025</v>
      </c>
      <c r="D455" s="119"/>
      <c r="E455" s="118" t="s">
        <v>216</v>
      </c>
      <c r="F455" s="117" t="s">
        <v>340</v>
      </c>
      <c r="G455" s="119" t="s">
        <v>2082</v>
      </c>
      <c r="H455" s="119"/>
      <c r="I455" s="118"/>
      <c r="J455" s="41" t="s">
        <v>178</v>
      </c>
      <c r="K455" s="41">
        <v>2</v>
      </c>
      <c r="L455" s="41" t="s">
        <v>178</v>
      </c>
      <c r="M455" s="41">
        <v>2</v>
      </c>
      <c r="N455" s="39"/>
      <c r="O455" s="39"/>
      <c r="P455" s="5" t="s">
        <v>179</v>
      </c>
      <c r="Q455" s="41"/>
      <c r="R455" s="5" t="s">
        <v>112</v>
      </c>
      <c r="S455" s="41">
        <v>4</v>
      </c>
      <c r="T455" s="41" t="s">
        <v>139</v>
      </c>
      <c r="U455" s="41"/>
      <c r="V455" s="41"/>
      <c r="W455" s="174"/>
      <c r="X455" s="174"/>
      <c r="Y455" s="41"/>
      <c r="Z455" s="42" t="s">
        <v>267</v>
      </c>
      <c r="AA455" s="42" t="s">
        <v>2083</v>
      </c>
      <c r="AB455" s="42" t="s">
        <v>118</v>
      </c>
      <c r="AC455" s="42"/>
      <c r="AD455" s="42"/>
      <c r="AE455" s="42"/>
      <c r="AF455" s="38">
        <f t="shared" si="14"/>
        <v>60</v>
      </c>
      <c r="AG455" s="39">
        <v>60</v>
      </c>
      <c r="AH455" s="39"/>
      <c r="AI455" s="39">
        <v>80</v>
      </c>
      <c r="AJ455" s="39"/>
      <c r="AK455" s="39">
        <v>40</v>
      </c>
      <c r="AL455" s="39"/>
      <c r="AM455" s="39">
        <v>40</v>
      </c>
      <c r="AN455" s="39"/>
      <c r="AO455" s="63">
        <v>5.8</v>
      </c>
      <c r="AP455" s="58">
        <v>1600</v>
      </c>
      <c r="AQ455" s="58">
        <v>420</v>
      </c>
      <c r="AR455" s="58">
        <v>420</v>
      </c>
      <c r="AS455" s="30">
        <v>34104</v>
      </c>
      <c r="AT455" s="30">
        <v>18560</v>
      </c>
      <c r="AU455" s="30">
        <v>52664</v>
      </c>
      <c r="AV455" s="197">
        <v>34104</v>
      </c>
      <c r="AW455" s="197">
        <v>18560</v>
      </c>
      <c r="AX455" s="197">
        <v>52664</v>
      </c>
      <c r="AY455" s="203"/>
      <c r="AZ455" s="203"/>
      <c r="BA455" s="203">
        <v>0</v>
      </c>
      <c r="BB455" s="191" t="s">
        <v>1082</v>
      </c>
      <c r="BC455" s="191"/>
      <c r="BD455" s="41">
        <v>3</v>
      </c>
      <c r="BE455" s="40" t="s">
        <v>1083</v>
      </c>
      <c r="BF455" s="187"/>
      <c r="BG455" s="183"/>
      <c r="BH455" s="183"/>
    </row>
    <row r="456" spans="1:60" ht="30" hidden="1" customHeight="1">
      <c r="A456" s="168" t="s">
        <v>336</v>
      </c>
      <c r="B456" s="119" t="s">
        <v>1164</v>
      </c>
      <c r="C456" s="119">
        <v>2025</v>
      </c>
      <c r="D456" s="119"/>
      <c r="E456" s="118" t="s">
        <v>434</v>
      </c>
      <c r="F456" s="118" t="s">
        <v>166</v>
      </c>
      <c r="G456" s="119" t="s">
        <v>2084</v>
      </c>
      <c r="H456" s="119"/>
      <c r="I456" s="118"/>
      <c r="J456" s="41" t="s">
        <v>178</v>
      </c>
      <c r="K456" s="41">
        <v>1</v>
      </c>
      <c r="L456" s="41" t="s">
        <v>178</v>
      </c>
      <c r="M456" s="41">
        <v>1</v>
      </c>
      <c r="N456" s="39"/>
      <c r="O456" s="39"/>
      <c r="P456" s="5" t="s">
        <v>179</v>
      </c>
      <c r="Q456" s="41"/>
      <c r="R456" s="5" t="s">
        <v>112</v>
      </c>
      <c r="S456" s="41">
        <v>3</v>
      </c>
      <c r="T456" s="41" t="s">
        <v>924</v>
      </c>
      <c r="U456" s="41"/>
      <c r="V456" s="41" t="s">
        <v>115</v>
      </c>
      <c r="W456" s="174"/>
      <c r="X456" s="174"/>
      <c r="Y456" s="41"/>
      <c r="Z456" s="42" t="s">
        <v>524</v>
      </c>
      <c r="AA456" s="37" t="s">
        <v>2085</v>
      </c>
      <c r="AB456" s="42" t="s">
        <v>345</v>
      </c>
      <c r="AC456" s="42" t="s">
        <v>562</v>
      </c>
      <c r="AD456" s="51"/>
      <c r="AE456" s="51"/>
      <c r="AF456" s="38">
        <f t="shared" si="14"/>
        <v>60</v>
      </c>
      <c r="AG456" s="39">
        <v>60</v>
      </c>
      <c r="AH456" s="39"/>
      <c r="AI456" s="39">
        <v>60</v>
      </c>
      <c r="AJ456" s="39" t="s">
        <v>1168</v>
      </c>
      <c r="AK456" s="39">
        <v>60</v>
      </c>
      <c r="AL456" s="39"/>
      <c r="AM456" s="39">
        <v>60</v>
      </c>
      <c r="AN456" s="39" t="s">
        <v>865</v>
      </c>
      <c r="AO456" s="63">
        <v>5.8</v>
      </c>
      <c r="AP456" s="58">
        <v>800</v>
      </c>
      <c r="AQ456" s="58">
        <v>350</v>
      </c>
      <c r="AR456" s="58">
        <v>350</v>
      </c>
      <c r="AS456" s="30">
        <v>10150</v>
      </c>
      <c r="AT456" s="30">
        <v>4640</v>
      </c>
      <c r="AU456" s="30">
        <v>14790</v>
      </c>
      <c r="AV456" s="197">
        <v>10150</v>
      </c>
      <c r="AW456" s="197">
        <v>4640</v>
      </c>
      <c r="AX456" s="197">
        <v>14790</v>
      </c>
      <c r="AY456" s="203"/>
      <c r="AZ456" s="203"/>
      <c r="BA456" s="203">
        <v>0</v>
      </c>
      <c r="BB456" s="191" t="s">
        <v>1948</v>
      </c>
      <c r="BC456" s="191"/>
      <c r="BD456" s="192">
        <v>2</v>
      </c>
      <c r="BE456" s="40"/>
      <c r="BF456" s="187"/>
      <c r="BG456" s="183"/>
      <c r="BH456" s="183"/>
    </row>
    <row r="457" spans="1:60" ht="30" hidden="1" customHeight="1">
      <c r="A457" s="168" t="s">
        <v>1293</v>
      </c>
      <c r="B457" s="119" t="s">
        <v>2078</v>
      </c>
      <c r="C457" s="119">
        <v>2025</v>
      </c>
      <c r="D457" s="119"/>
      <c r="E457" s="118" t="s">
        <v>126</v>
      </c>
      <c r="F457" s="117" t="s">
        <v>152</v>
      </c>
      <c r="G457" s="119"/>
      <c r="H457" s="119"/>
      <c r="I457" s="118"/>
      <c r="J457" s="41" t="s">
        <v>178</v>
      </c>
      <c r="K457" s="41">
        <v>1</v>
      </c>
      <c r="L457" s="41" t="s">
        <v>178</v>
      </c>
      <c r="M457" s="41">
        <v>1</v>
      </c>
      <c r="N457" s="39"/>
      <c r="O457" s="39"/>
      <c r="P457" s="5" t="s">
        <v>179</v>
      </c>
      <c r="Q457" s="41"/>
      <c r="R457" s="5" t="s">
        <v>112</v>
      </c>
      <c r="S457" s="41">
        <v>3</v>
      </c>
      <c r="T457" s="41" t="s">
        <v>801</v>
      </c>
      <c r="U457" s="41"/>
      <c r="V457" s="41"/>
      <c r="W457" s="174"/>
      <c r="X457" s="174"/>
      <c r="Y457" s="41"/>
      <c r="Z457" s="42" t="s">
        <v>313</v>
      </c>
      <c r="AA457" s="42" t="s">
        <v>2079</v>
      </c>
      <c r="AB457" s="42" t="s">
        <v>345</v>
      </c>
      <c r="AC457" s="42"/>
      <c r="AD457" s="42"/>
      <c r="AE457" s="42"/>
      <c r="AF457" s="38">
        <f t="shared" si="14"/>
        <v>60</v>
      </c>
      <c r="AG457" s="39">
        <v>60</v>
      </c>
      <c r="AH457" s="39"/>
      <c r="AI457" s="39">
        <v>80</v>
      </c>
      <c r="AJ457" s="39"/>
      <c r="AK457" s="39">
        <v>40</v>
      </c>
      <c r="AL457" s="39"/>
      <c r="AM457" s="39">
        <v>40</v>
      </c>
      <c r="AN457" s="39"/>
      <c r="AO457" s="63">
        <v>5.8</v>
      </c>
      <c r="AP457" s="58">
        <v>1600</v>
      </c>
      <c r="AQ457" s="58">
        <v>420</v>
      </c>
      <c r="AR457" s="58">
        <v>420</v>
      </c>
      <c r="AS457" s="30">
        <v>14616</v>
      </c>
      <c r="AT457" s="30">
        <v>9280</v>
      </c>
      <c r="AU457" s="30">
        <v>23896</v>
      </c>
      <c r="AV457" s="197">
        <v>14616</v>
      </c>
      <c r="AW457" s="197">
        <v>9280</v>
      </c>
      <c r="AX457" s="197">
        <v>23896</v>
      </c>
      <c r="AY457" s="203"/>
      <c r="AZ457" s="203"/>
      <c r="BA457" s="203">
        <v>0</v>
      </c>
      <c r="BB457" s="191" t="s">
        <v>799</v>
      </c>
      <c r="BC457" s="191"/>
      <c r="BD457" s="189">
        <v>3</v>
      </c>
      <c r="BE457" s="40"/>
      <c r="BF457" s="187"/>
      <c r="BG457" s="183"/>
      <c r="BH457" s="183"/>
    </row>
    <row r="458" spans="1:60" ht="30" hidden="1" customHeight="1">
      <c r="A458" s="168" t="s">
        <v>2019</v>
      </c>
      <c r="B458" s="119" t="s">
        <v>2086</v>
      </c>
      <c r="C458" s="119" t="s">
        <v>2087</v>
      </c>
      <c r="D458" s="119"/>
      <c r="E458" s="118" t="s">
        <v>176</v>
      </c>
      <c r="F458" s="117" t="s">
        <v>651</v>
      </c>
      <c r="G458" s="119" t="s">
        <v>2088</v>
      </c>
      <c r="H458" s="119"/>
      <c r="I458" s="118"/>
      <c r="J458" s="41" t="s">
        <v>178</v>
      </c>
      <c r="K458" s="41">
        <v>2</v>
      </c>
      <c r="L458" s="41" t="s">
        <v>178</v>
      </c>
      <c r="M458" s="41">
        <v>2</v>
      </c>
      <c r="N458" s="39"/>
      <c r="O458" s="39"/>
      <c r="P458" s="5" t="s">
        <v>179</v>
      </c>
      <c r="Q458" s="41"/>
      <c r="R458" s="5" t="s">
        <v>112</v>
      </c>
      <c r="S458" s="41">
        <v>3</v>
      </c>
      <c r="T458" s="41" t="s">
        <v>139</v>
      </c>
      <c r="U458" s="41"/>
      <c r="V458" s="41"/>
      <c r="W458" s="174"/>
      <c r="X458" s="174"/>
      <c r="Y458" s="41"/>
      <c r="Z458" s="42" t="s">
        <v>313</v>
      </c>
      <c r="AA458" s="42" t="s">
        <v>2061</v>
      </c>
      <c r="AB458" s="42" t="s">
        <v>345</v>
      </c>
      <c r="AC458" s="42" t="s">
        <v>1882</v>
      </c>
      <c r="AD458" s="42"/>
      <c r="AE458" s="42"/>
      <c r="AF458" s="38">
        <f t="shared" si="14"/>
        <v>60</v>
      </c>
      <c r="AG458" s="7">
        <v>60</v>
      </c>
      <c r="AH458" s="7"/>
      <c r="AI458" s="7">
        <v>80</v>
      </c>
      <c r="AJ458" s="7"/>
      <c r="AK458" s="7">
        <v>40</v>
      </c>
      <c r="AL458" s="7"/>
      <c r="AM458" s="7">
        <v>40</v>
      </c>
      <c r="AN458" s="7"/>
      <c r="AO458" s="63">
        <v>5.8</v>
      </c>
      <c r="AP458" s="58">
        <v>1600</v>
      </c>
      <c r="AQ458" s="58">
        <v>420</v>
      </c>
      <c r="AR458" s="58">
        <v>420</v>
      </c>
      <c r="AS458" s="30">
        <v>29232</v>
      </c>
      <c r="AT458" s="30">
        <v>18560</v>
      </c>
      <c r="AU458" s="30">
        <v>47792</v>
      </c>
      <c r="AV458" s="197">
        <v>29232</v>
      </c>
      <c r="AW458" s="197">
        <v>18560</v>
      </c>
      <c r="AX458" s="197">
        <v>47792</v>
      </c>
      <c r="AY458" s="203"/>
      <c r="AZ458" s="203"/>
      <c r="BA458" s="203">
        <v>0</v>
      </c>
      <c r="BB458" s="191" t="s">
        <v>2089</v>
      </c>
      <c r="BC458" s="191"/>
      <c r="BD458" s="189">
        <v>3</v>
      </c>
      <c r="BE458" s="40" t="s">
        <v>1597</v>
      </c>
      <c r="BF458" s="187"/>
      <c r="BG458" s="183"/>
      <c r="BH458" s="183"/>
    </row>
    <row r="459" spans="1:60" ht="30" hidden="1" customHeight="1">
      <c r="A459" s="168" t="s">
        <v>122</v>
      </c>
      <c r="B459" s="119" t="s">
        <v>2090</v>
      </c>
      <c r="C459" s="119" t="s">
        <v>2091</v>
      </c>
      <c r="D459" s="119"/>
      <c r="E459" s="118" t="s">
        <v>126</v>
      </c>
      <c r="F459" s="117" t="s">
        <v>127</v>
      </c>
      <c r="G459" s="119" t="s">
        <v>2092</v>
      </c>
      <c r="H459" s="119"/>
      <c r="I459" s="118"/>
      <c r="J459" s="41" t="s">
        <v>178</v>
      </c>
      <c r="K459" s="41">
        <v>1</v>
      </c>
      <c r="L459" s="41" t="s">
        <v>178</v>
      </c>
      <c r="M459" s="41">
        <v>1</v>
      </c>
      <c r="N459" s="39"/>
      <c r="O459" s="39"/>
      <c r="P459" s="5" t="s">
        <v>179</v>
      </c>
      <c r="Q459" s="41"/>
      <c r="R459" s="5" t="s">
        <v>112</v>
      </c>
      <c r="S459" s="41">
        <v>4</v>
      </c>
      <c r="T459" s="41" t="s">
        <v>285</v>
      </c>
      <c r="U459" s="41"/>
      <c r="V459" s="41"/>
      <c r="W459" s="174"/>
      <c r="X459" s="174"/>
      <c r="Y459" s="41"/>
      <c r="Z459" s="42" t="s">
        <v>116</v>
      </c>
      <c r="AA459" s="42" t="s">
        <v>2093</v>
      </c>
      <c r="AB459" s="42" t="s">
        <v>118</v>
      </c>
      <c r="AC459" s="42" t="s">
        <v>132</v>
      </c>
      <c r="AD459" s="42"/>
      <c r="AE459" s="42"/>
      <c r="AF459" s="38">
        <f t="shared" si="14"/>
        <v>60</v>
      </c>
      <c r="AG459" s="39">
        <v>80</v>
      </c>
      <c r="AH459" s="39"/>
      <c r="AI459" s="39">
        <v>40</v>
      </c>
      <c r="AJ459" s="39"/>
      <c r="AK459" s="39">
        <v>40</v>
      </c>
      <c r="AL459" s="39"/>
      <c r="AM459" s="39">
        <v>80</v>
      </c>
      <c r="AN459" s="39"/>
      <c r="AO459" s="63">
        <v>5.8</v>
      </c>
      <c r="AP459" s="58">
        <v>1600</v>
      </c>
      <c r="AQ459" s="58">
        <v>330</v>
      </c>
      <c r="AR459" s="58">
        <v>330</v>
      </c>
      <c r="AS459" s="30">
        <v>13398</v>
      </c>
      <c r="AT459" s="30">
        <v>9280</v>
      </c>
      <c r="AU459" s="30">
        <v>22678</v>
      </c>
      <c r="AV459" s="197">
        <v>13398</v>
      </c>
      <c r="AW459" s="197">
        <v>9280</v>
      </c>
      <c r="AX459" s="197">
        <v>22678</v>
      </c>
      <c r="AY459" s="203"/>
      <c r="AZ459" s="203"/>
      <c r="BA459" s="203">
        <v>0</v>
      </c>
      <c r="BB459" s="191" t="s">
        <v>799</v>
      </c>
      <c r="BC459" s="191"/>
      <c r="BD459" s="189">
        <v>3</v>
      </c>
      <c r="BE459" s="40"/>
      <c r="BF459" s="187"/>
      <c r="BG459" s="183"/>
      <c r="BH459" s="183"/>
    </row>
    <row r="460" spans="1:60" ht="30" hidden="1" customHeight="1">
      <c r="A460" s="168" t="s">
        <v>122</v>
      </c>
      <c r="B460" s="119" t="s">
        <v>1658</v>
      </c>
      <c r="C460" s="119" t="s">
        <v>122</v>
      </c>
      <c r="D460" s="119"/>
      <c r="E460" s="118" t="s">
        <v>1604</v>
      </c>
      <c r="F460" s="117" t="s">
        <v>152</v>
      </c>
      <c r="G460" s="119"/>
      <c r="H460" s="119"/>
      <c r="I460" s="118"/>
      <c r="J460" s="41" t="s">
        <v>178</v>
      </c>
      <c r="K460" s="41">
        <v>1</v>
      </c>
      <c r="L460" s="41" t="s">
        <v>178</v>
      </c>
      <c r="M460" s="41">
        <v>1</v>
      </c>
      <c r="N460" s="39"/>
      <c r="O460" s="39"/>
      <c r="P460" s="5" t="s">
        <v>179</v>
      </c>
      <c r="Q460" s="41"/>
      <c r="R460" s="41" t="s">
        <v>112</v>
      </c>
      <c r="S460" s="41">
        <v>3</v>
      </c>
      <c r="T460" s="41" t="s">
        <v>218</v>
      </c>
      <c r="U460" s="41"/>
      <c r="V460" s="41"/>
      <c r="W460" s="174"/>
      <c r="X460" s="174"/>
      <c r="Y460" s="41"/>
      <c r="Z460" s="42" t="s">
        <v>267</v>
      </c>
      <c r="AA460" s="37" t="s">
        <v>2094</v>
      </c>
      <c r="AB460" s="42" t="s">
        <v>118</v>
      </c>
      <c r="AC460" s="42"/>
      <c r="AD460" s="51"/>
      <c r="AE460" s="51"/>
      <c r="AF460" s="38">
        <f t="shared" si="14"/>
        <v>60</v>
      </c>
      <c r="AG460" s="39">
        <v>60</v>
      </c>
      <c r="AH460" s="39"/>
      <c r="AI460" s="39">
        <v>80</v>
      </c>
      <c r="AJ460" s="39" t="s">
        <v>1089</v>
      </c>
      <c r="AK460" s="39">
        <v>40</v>
      </c>
      <c r="AL460" s="39"/>
      <c r="AM460" s="39">
        <v>40</v>
      </c>
      <c r="AN460" s="39"/>
      <c r="AO460" s="63">
        <v>5.8</v>
      </c>
      <c r="AP460" s="58">
        <v>1600</v>
      </c>
      <c r="AQ460" s="58">
        <v>330</v>
      </c>
      <c r="AR460" s="58">
        <v>330</v>
      </c>
      <c r="AS460" s="30">
        <v>11484</v>
      </c>
      <c r="AT460" s="30">
        <v>9280</v>
      </c>
      <c r="AU460" s="30">
        <v>20764</v>
      </c>
      <c r="AV460" s="197">
        <v>11484</v>
      </c>
      <c r="AW460" s="197">
        <v>9280</v>
      </c>
      <c r="AX460" s="197">
        <v>20764</v>
      </c>
      <c r="AY460" s="203"/>
      <c r="AZ460" s="203"/>
      <c r="BA460" s="203">
        <v>0</v>
      </c>
      <c r="BB460" s="191" t="s">
        <v>2095</v>
      </c>
      <c r="BC460" s="191"/>
      <c r="BD460" s="190">
        <v>3</v>
      </c>
      <c r="BE460" s="40"/>
      <c r="BF460" s="187"/>
      <c r="BG460" s="183"/>
      <c r="BH460" s="183"/>
    </row>
    <row r="461" spans="1:60" ht="30" hidden="1" customHeight="1">
      <c r="A461" s="168" t="s">
        <v>2096</v>
      </c>
      <c r="B461" s="119" t="s">
        <v>2097</v>
      </c>
      <c r="C461" s="119" t="s">
        <v>456</v>
      </c>
      <c r="D461" s="119"/>
      <c r="E461" s="118" t="s">
        <v>264</v>
      </c>
      <c r="F461" s="118" t="s">
        <v>265</v>
      </c>
      <c r="G461" s="119"/>
      <c r="H461" s="119"/>
      <c r="I461" s="118"/>
      <c r="J461" s="41" t="s">
        <v>178</v>
      </c>
      <c r="K461" s="41">
        <v>2</v>
      </c>
      <c r="L461" s="41" t="s">
        <v>178</v>
      </c>
      <c r="M461" s="41">
        <v>2</v>
      </c>
      <c r="N461" s="39"/>
      <c r="O461" s="39"/>
      <c r="P461" s="5" t="s">
        <v>179</v>
      </c>
      <c r="Q461" s="41"/>
      <c r="R461" s="41" t="s">
        <v>112</v>
      </c>
      <c r="S461" s="41">
        <v>5</v>
      </c>
      <c r="T461" s="41" t="s">
        <v>2098</v>
      </c>
      <c r="U461" s="41"/>
      <c r="V461" s="41"/>
      <c r="W461" s="174"/>
      <c r="X461" s="174"/>
      <c r="Y461" s="41"/>
      <c r="Z461" s="42" t="s">
        <v>141</v>
      </c>
      <c r="AA461" s="37" t="s">
        <v>2099</v>
      </c>
      <c r="AB461" s="42" t="s">
        <v>517</v>
      </c>
      <c r="AC461" s="42" t="s">
        <v>2100</v>
      </c>
      <c r="AD461" s="51"/>
      <c r="AE461" s="51"/>
      <c r="AF461" s="38">
        <f t="shared" si="14"/>
        <v>60</v>
      </c>
      <c r="AG461" s="7">
        <v>60</v>
      </c>
      <c r="AH461" s="7"/>
      <c r="AI461" s="7">
        <v>40</v>
      </c>
      <c r="AJ461" s="7"/>
      <c r="AK461" s="7">
        <v>80</v>
      </c>
      <c r="AL461" s="7"/>
      <c r="AM461" s="7">
        <v>80</v>
      </c>
      <c r="AN461" s="7"/>
      <c r="AO461" s="63">
        <v>5.8</v>
      </c>
      <c r="AP461" s="58">
        <v>1600</v>
      </c>
      <c r="AQ461" s="58">
        <v>420</v>
      </c>
      <c r="AR461" s="58">
        <v>420</v>
      </c>
      <c r="AS461" s="30">
        <v>38976</v>
      </c>
      <c r="AT461" s="30">
        <v>18560</v>
      </c>
      <c r="AU461" s="30">
        <v>57536</v>
      </c>
      <c r="AV461" s="197">
        <v>38976</v>
      </c>
      <c r="AW461" s="197">
        <v>18560</v>
      </c>
      <c r="AX461" s="197">
        <v>57536</v>
      </c>
      <c r="AY461" s="203"/>
      <c r="AZ461" s="203"/>
      <c r="BA461" s="203">
        <v>0</v>
      </c>
      <c r="BB461" s="191" t="s">
        <v>2101</v>
      </c>
      <c r="BC461" s="191"/>
      <c r="BD461" s="190">
        <v>3</v>
      </c>
      <c r="BE461" s="40"/>
      <c r="BF461" s="187"/>
      <c r="BG461" s="183"/>
      <c r="BH461" s="183"/>
    </row>
    <row r="462" spans="1:60" ht="30" hidden="1" customHeight="1">
      <c r="A462" s="168" t="s">
        <v>2102</v>
      </c>
      <c r="B462" s="119" t="s">
        <v>2103</v>
      </c>
      <c r="C462" s="119" t="s">
        <v>1387</v>
      </c>
      <c r="D462" s="119"/>
      <c r="E462" s="118" t="s">
        <v>402</v>
      </c>
      <c r="F462" s="118" t="s">
        <v>396</v>
      </c>
      <c r="G462" s="119" t="s">
        <v>2104</v>
      </c>
      <c r="H462" s="119" t="s">
        <v>591</v>
      </c>
      <c r="I462" s="118"/>
      <c r="J462" s="41" t="s">
        <v>110</v>
      </c>
      <c r="K462" s="41">
        <v>1</v>
      </c>
      <c r="L462" s="41" t="s">
        <v>178</v>
      </c>
      <c r="M462" s="41">
        <v>1</v>
      </c>
      <c r="N462" s="39"/>
      <c r="O462" s="39"/>
      <c r="P462" s="5" t="s">
        <v>179</v>
      </c>
      <c r="Q462" s="41"/>
      <c r="R462" s="5" t="s">
        <v>112</v>
      </c>
      <c r="S462" s="41">
        <v>3</v>
      </c>
      <c r="T462" s="41" t="s">
        <v>139</v>
      </c>
      <c r="U462" s="41"/>
      <c r="V462" s="41"/>
      <c r="W462" s="174"/>
      <c r="X462" s="174"/>
      <c r="Y462" s="41"/>
      <c r="Z462" s="42" t="s">
        <v>267</v>
      </c>
      <c r="AA462" s="42" t="s">
        <v>2105</v>
      </c>
      <c r="AB462" s="42" t="s">
        <v>345</v>
      </c>
      <c r="AC462" s="42"/>
      <c r="AD462" s="42"/>
      <c r="AE462" s="42"/>
      <c r="AF462" s="38">
        <f t="shared" si="14"/>
        <v>58</v>
      </c>
      <c r="AG462" s="7">
        <v>60</v>
      </c>
      <c r="AH462" s="7" t="s">
        <v>2106</v>
      </c>
      <c r="AI462" s="7">
        <v>60</v>
      </c>
      <c r="AJ462" s="7" t="s">
        <v>2107</v>
      </c>
      <c r="AK462" s="7">
        <v>40</v>
      </c>
      <c r="AL462" s="7"/>
      <c r="AM462" s="7">
        <v>80</v>
      </c>
      <c r="AN462" s="7"/>
      <c r="AO462" s="63">
        <v>5.8</v>
      </c>
      <c r="AP462" s="58">
        <v>1600</v>
      </c>
      <c r="AQ462" s="58">
        <v>460</v>
      </c>
      <c r="AR462" s="58">
        <v>460</v>
      </c>
      <c r="AS462" s="30">
        <v>16008</v>
      </c>
      <c r="AT462" s="30">
        <v>9280</v>
      </c>
      <c r="AU462" s="30">
        <v>25288</v>
      </c>
      <c r="AV462" s="197">
        <v>16008</v>
      </c>
      <c r="AW462" s="197">
        <v>9280</v>
      </c>
      <c r="AX462" s="197">
        <v>25288</v>
      </c>
      <c r="AY462" s="203"/>
      <c r="AZ462" s="203"/>
      <c r="BA462" s="203">
        <v>0</v>
      </c>
      <c r="BB462" s="191" t="s">
        <v>2108</v>
      </c>
      <c r="BC462" s="191"/>
      <c r="BD462" s="190">
        <v>3</v>
      </c>
      <c r="BE462" s="40"/>
      <c r="BF462" s="187"/>
      <c r="BG462" s="183"/>
      <c r="BH462" s="183"/>
    </row>
    <row r="463" spans="1:60" ht="30" hidden="1" customHeight="1">
      <c r="A463" s="168" t="s">
        <v>2080</v>
      </c>
      <c r="B463" s="119" t="s">
        <v>2081</v>
      </c>
      <c r="C463" s="119">
        <v>2025</v>
      </c>
      <c r="D463" s="119"/>
      <c r="E463" s="118" t="s">
        <v>1505</v>
      </c>
      <c r="F463" s="118" t="s">
        <v>340</v>
      </c>
      <c r="G463" s="119" t="s">
        <v>2109</v>
      </c>
      <c r="H463" s="119"/>
      <c r="I463" s="118"/>
      <c r="J463" s="41" t="s">
        <v>178</v>
      </c>
      <c r="K463" s="41">
        <v>3</v>
      </c>
      <c r="L463" s="41" t="s">
        <v>178</v>
      </c>
      <c r="M463" s="41">
        <v>3</v>
      </c>
      <c r="N463" s="39"/>
      <c r="O463" s="39"/>
      <c r="P463" s="5" t="s">
        <v>179</v>
      </c>
      <c r="Q463" s="41"/>
      <c r="R463" s="5" t="s">
        <v>112</v>
      </c>
      <c r="S463" s="41">
        <v>4</v>
      </c>
      <c r="T463" s="41" t="s">
        <v>139</v>
      </c>
      <c r="U463" s="41"/>
      <c r="V463" s="41"/>
      <c r="W463" s="174"/>
      <c r="X463" s="174"/>
      <c r="Y463" s="41"/>
      <c r="Z463" s="42" t="s">
        <v>267</v>
      </c>
      <c r="AA463" s="42" t="s">
        <v>2110</v>
      </c>
      <c r="AB463" s="42" t="s">
        <v>118</v>
      </c>
      <c r="AC463" s="42"/>
      <c r="AD463" s="42"/>
      <c r="AE463" s="42"/>
      <c r="AF463" s="38">
        <f>PAI2025Planejamento[[#This Row],[1) IMPACTO NO MERCADO]]*$AG$2+PAI2025Planejamento[[#This Row],[2) RELEVÂNCIA TEMÁTICA]]*$AI$2+PAI2025Planejamento[[#This Row],[3) TIPO DE ATUAÇÃO]]*$AK$2+PAI2025Planejamento[[#This Row],[4) TIPO DE FÓRUM]]*$AM$2</f>
        <v>58</v>
      </c>
      <c r="AG463" s="7">
        <v>60</v>
      </c>
      <c r="AH463" s="7"/>
      <c r="AI463" s="7">
        <v>60</v>
      </c>
      <c r="AJ463" s="7" t="s">
        <v>2111</v>
      </c>
      <c r="AK463" s="7">
        <v>40</v>
      </c>
      <c r="AL463" s="7"/>
      <c r="AM463" s="7">
        <v>80</v>
      </c>
      <c r="AN463" s="7"/>
      <c r="AO463" s="63">
        <v>5.8</v>
      </c>
      <c r="AP463" s="58">
        <v>1600</v>
      </c>
      <c r="AQ463" s="58">
        <v>420</v>
      </c>
      <c r="AR463" s="58">
        <v>420</v>
      </c>
      <c r="AS463" s="30">
        <v>51156</v>
      </c>
      <c r="AT463" s="30">
        <v>27840</v>
      </c>
      <c r="AU463" s="30">
        <v>78996</v>
      </c>
      <c r="AV463" s="197">
        <v>51156</v>
      </c>
      <c r="AW463" s="197">
        <v>27840</v>
      </c>
      <c r="AX463" s="197">
        <v>78996</v>
      </c>
      <c r="AY463" s="203"/>
      <c r="AZ463" s="203"/>
      <c r="BA463" s="203">
        <v>0</v>
      </c>
      <c r="BB463" s="191"/>
      <c r="BC463" s="191"/>
      <c r="BD463" s="190">
        <v>3</v>
      </c>
      <c r="BE463" s="40"/>
      <c r="BF463" s="187"/>
      <c r="BG463" s="183"/>
      <c r="BH463" s="183"/>
    </row>
    <row r="464" spans="1:60" ht="30" hidden="1" customHeight="1">
      <c r="A464" s="168" t="s">
        <v>122</v>
      </c>
      <c r="B464" s="119" t="s">
        <v>2112</v>
      </c>
      <c r="C464" s="119" t="s">
        <v>2113</v>
      </c>
      <c r="D464" s="119"/>
      <c r="E464" s="118" t="s">
        <v>107</v>
      </c>
      <c r="F464" s="117" t="s">
        <v>275</v>
      </c>
      <c r="G464" s="119"/>
      <c r="H464" s="119"/>
      <c r="I464" s="118"/>
      <c r="J464" s="41" t="s">
        <v>178</v>
      </c>
      <c r="K464" s="41">
        <v>1</v>
      </c>
      <c r="L464" s="41" t="s">
        <v>178</v>
      </c>
      <c r="M464" s="41">
        <v>1</v>
      </c>
      <c r="N464" s="39" t="s">
        <v>115</v>
      </c>
      <c r="O464" s="39">
        <v>1</v>
      </c>
      <c r="P464" s="5" t="s">
        <v>179</v>
      </c>
      <c r="Q464" s="41"/>
      <c r="R464" s="5" t="s">
        <v>112</v>
      </c>
      <c r="S464" s="41">
        <v>5</v>
      </c>
      <c r="T464" s="5" t="s">
        <v>218</v>
      </c>
      <c r="U464" s="41"/>
      <c r="V464" s="41"/>
      <c r="W464" s="175">
        <v>45992</v>
      </c>
      <c r="X464" s="175">
        <v>45992</v>
      </c>
      <c r="Y464" s="41"/>
      <c r="Z464" s="42" t="s">
        <v>116</v>
      </c>
      <c r="AA464" s="37" t="s">
        <v>2114</v>
      </c>
      <c r="AB464" s="42" t="s">
        <v>118</v>
      </c>
      <c r="AC464" s="42" t="s">
        <v>119</v>
      </c>
      <c r="AD464" s="51"/>
      <c r="AE464" s="51"/>
      <c r="AF464" s="38">
        <f t="shared" ref="AF464:AF473" si="15">AG464*$AG$2+AI464*$AI$2+AK464*$AK$2+AM464*$AM$2</f>
        <v>58</v>
      </c>
      <c r="AG464" s="7">
        <v>60</v>
      </c>
      <c r="AH464" s="7"/>
      <c r="AI464" s="7">
        <v>60</v>
      </c>
      <c r="AJ464" s="7" t="s">
        <v>709</v>
      </c>
      <c r="AK464" s="7">
        <v>40</v>
      </c>
      <c r="AL464" s="7"/>
      <c r="AM464" s="7">
        <v>80</v>
      </c>
      <c r="AN464" s="7" t="s">
        <v>146</v>
      </c>
      <c r="AO464" s="63">
        <v>5.8</v>
      </c>
      <c r="AP464" s="58">
        <v>1600</v>
      </c>
      <c r="AQ464" s="58">
        <v>310</v>
      </c>
      <c r="AR464" s="58">
        <v>310</v>
      </c>
      <c r="AS464" s="30">
        <v>14384</v>
      </c>
      <c r="AT464" s="30">
        <v>9280</v>
      </c>
      <c r="AU464" s="30">
        <v>23664</v>
      </c>
      <c r="AV464" s="197">
        <v>14384</v>
      </c>
      <c r="AW464" s="197">
        <v>9280</v>
      </c>
      <c r="AX464" s="197">
        <v>23664</v>
      </c>
      <c r="AY464" s="203"/>
      <c r="AZ464" s="203"/>
      <c r="BA464" s="203">
        <v>0</v>
      </c>
      <c r="BB464" s="191" t="s">
        <v>2115</v>
      </c>
      <c r="BC464" s="191"/>
      <c r="BD464" s="190">
        <v>3</v>
      </c>
      <c r="BE464" s="40"/>
      <c r="BF464" s="187"/>
      <c r="BG464" s="183"/>
      <c r="BH464" s="183"/>
    </row>
    <row r="465" spans="1:60" ht="30" hidden="1" customHeight="1">
      <c r="A465" s="168" t="s">
        <v>2116</v>
      </c>
      <c r="B465" s="121" t="s">
        <v>2117</v>
      </c>
      <c r="C465" s="119" t="s">
        <v>340</v>
      </c>
      <c r="D465" s="119"/>
      <c r="E465" s="118" t="s">
        <v>339</v>
      </c>
      <c r="F465" s="118" t="s">
        <v>340</v>
      </c>
      <c r="G465" s="121" t="s">
        <v>2118</v>
      </c>
      <c r="H465" s="121"/>
      <c r="I465" s="41"/>
      <c r="J465" s="41" t="s">
        <v>110</v>
      </c>
      <c r="K465" s="41">
        <v>3</v>
      </c>
      <c r="L465" s="41" t="s">
        <v>110</v>
      </c>
      <c r="M465" s="41">
        <v>2</v>
      </c>
      <c r="N465" s="39"/>
      <c r="O465" s="39"/>
      <c r="P465" s="5" t="s">
        <v>111</v>
      </c>
      <c r="Q465" s="41"/>
      <c r="R465" s="5" t="s">
        <v>112</v>
      </c>
      <c r="S465" s="41">
        <v>5</v>
      </c>
      <c r="T465" s="41" t="s">
        <v>801</v>
      </c>
      <c r="U465" s="41"/>
      <c r="V465" s="41"/>
      <c r="W465" s="174">
        <v>45992</v>
      </c>
      <c r="X465" s="174">
        <v>45992</v>
      </c>
      <c r="Y465" s="41"/>
      <c r="Z465" s="42" t="s">
        <v>141</v>
      </c>
      <c r="AA465" s="37" t="s">
        <v>2119</v>
      </c>
      <c r="AB465" s="42" t="s">
        <v>118</v>
      </c>
      <c r="AC465" s="42" t="s">
        <v>645</v>
      </c>
      <c r="AD465" s="42"/>
      <c r="AE465" s="42"/>
      <c r="AF465" s="38">
        <f t="shared" si="15"/>
        <v>84</v>
      </c>
      <c r="AG465" s="7">
        <v>80</v>
      </c>
      <c r="AH465" s="7"/>
      <c r="AI465" s="7">
        <v>80</v>
      </c>
      <c r="AJ465" s="7" t="s">
        <v>2120</v>
      </c>
      <c r="AK465" s="7">
        <v>100</v>
      </c>
      <c r="AL465" s="7" t="s">
        <v>2121</v>
      </c>
      <c r="AM465" s="7">
        <v>80</v>
      </c>
      <c r="AN465" s="7"/>
      <c r="AO465" s="63">
        <v>5.8</v>
      </c>
      <c r="AP465" s="58">
        <v>1600</v>
      </c>
      <c r="AQ465" s="62">
        <f>AVERAGE(420.37,370)</f>
        <v>395.185</v>
      </c>
      <c r="AR465" s="62">
        <f>AVERAGE(420.37)</f>
        <v>420.37</v>
      </c>
      <c r="AS465" s="30">
        <v>55009.751999999993</v>
      </c>
      <c r="AT465" s="30">
        <v>27840</v>
      </c>
      <c r="AU465" s="30">
        <v>82849.751999999993</v>
      </c>
      <c r="AV465" s="197">
        <v>39010.335999999996</v>
      </c>
      <c r="AW465" s="197">
        <v>18560</v>
      </c>
      <c r="AX465" s="197">
        <v>57570.335999999996</v>
      </c>
      <c r="AY465" s="203"/>
      <c r="AZ465" s="203"/>
      <c r="BA465" s="203">
        <v>0</v>
      </c>
      <c r="BB465" s="191" t="s">
        <v>2122</v>
      </c>
      <c r="BC465" s="191"/>
      <c r="BD465" s="189">
        <v>3</v>
      </c>
      <c r="BE465" s="40"/>
      <c r="BF465" s="187"/>
      <c r="BG465" s="183"/>
      <c r="BH465" s="183"/>
    </row>
    <row r="466" spans="1:60" ht="30" hidden="1" customHeight="1">
      <c r="A466" s="168" t="s">
        <v>391</v>
      </c>
      <c r="B466" s="119" t="s">
        <v>2123</v>
      </c>
      <c r="C466" s="119" t="s">
        <v>2005</v>
      </c>
      <c r="D466" s="119"/>
      <c r="E466" s="118" t="s">
        <v>216</v>
      </c>
      <c r="F466" s="118" t="s">
        <v>217</v>
      </c>
      <c r="G466" s="119"/>
      <c r="H466" s="119"/>
      <c r="I466" s="118"/>
      <c r="J466" s="41" t="s">
        <v>178</v>
      </c>
      <c r="K466" s="41">
        <v>1</v>
      </c>
      <c r="L466" s="41" t="s">
        <v>178</v>
      </c>
      <c r="M466" s="41">
        <v>1</v>
      </c>
      <c r="N466" s="39"/>
      <c r="O466" s="39"/>
      <c r="P466" s="5" t="s">
        <v>179</v>
      </c>
      <c r="Q466" s="41"/>
      <c r="R466" s="5" t="s">
        <v>112</v>
      </c>
      <c r="S466" s="41">
        <v>4</v>
      </c>
      <c r="T466" s="41" t="s">
        <v>260</v>
      </c>
      <c r="U466" s="41"/>
      <c r="V466" s="41"/>
      <c r="W466" s="174"/>
      <c r="X466" s="174"/>
      <c r="Y466" s="41"/>
      <c r="Z466" s="42" t="s">
        <v>313</v>
      </c>
      <c r="AA466" s="42" t="s">
        <v>2124</v>
      </c>
      <c r="AB466" s="42" t="s">
        <v>345</v>
      </c>
      <c r="AC466" s="42"/>
      <c r="AD466" s="42"/>
      <c r="AE466" s="42"/>
      <c r="AF466" s="38">
        <f t="shared" si="15"/>
        <v>56</v>
      </c>
      <c r="AG466" s="7">
        <v>60</v>
      </c>
      <c r="AH466" s="7" t="s">
        <v>2011</v>
      </c>
      <c r="AI466" s="7">
        <v>80</v>
      </c>
      <c r="AJ466" s="7" t="s">
        <v>2012</v>
      </c>
      <c r="AK466" s="7">
        <v>0</v>
      </c>
      <c r="AL466" s="7" t="s">
        <v>2013</v>
      </c>
      <c r="AM466" s="7">
        <v>80</v>
      </c>
      <c r="AN466" s="7" t="s">
        <v>2014</v>
      </c>
      <c r="AO466" s="63">
        <v>5.8</v>
      </c>
      <c r="AP466" s="58">
        <v>1600</v>
      </c>
      <c r="AQ466" s="58">
        <v>330</v>
      </c>
      <c r="AR466" s="58">
        <v>330</v>
      </c>
      <c r="AS466" s="30">
        <v>13398</v>
      </c>
      <c r="AT466" s="30">
        <v>9280</v>
      </c>
      <c r="AU466" s="30">
        <v>22678</v>
      </c>
      <c r="AV466" s="197">
        <v>13398</v>
      </c>
      <c r="AW466" s="197">
        <v>9280</v>
      </c>
      <c r="AX466" s="197">
        <v>22678</v>
      </c>
      <c r="AY466" s="203"/>
      <c r="AZ466" s="203"/>
      <c r="BA466" s="203">
        <v>0</v>
      </c>
      <c r="BB466" s="191" t="s">
        <v>975</v>
      </c>
      <c r="BC466" s="191"/>
      <c r="BD466" s="189">
        <v>3</v>
      </c>
      <c r="BE466" s="40" t="s">
        <v>968</v>
      </c>
      <c r="BF466" s="187" t="s">
        <v>969</v>
      </c>
      <c r="BG466" s="183"/>
      <c r="BH466" s="183"/>
    </row>
    <row r="467" spans="1:60" ht="30" hidden="1" customHeight="1">
      <c r="A467" s="168" t="s">
        <v>2125</v>
      </c>
      <c r="B467" s="119" t="s">
        <v>2126</v>
      </c>
      <c r="C467" s="119" t="s">
        <v>1481</v>
      </c>
      <c r="D467" s="119"/>
      <c r="E467" s="118" t="s">
        <v>107</v>
      </c>
      <c r="F467" s="118" t="s">
        <v>108</v>
      </c>
      <c r="G467" s="119" t="s">
        <v>231</v>
      </c>
      <c r="H467" s="119"/>
      <c r="I467" s="118"/>
      <c r="J467" s="41" t="s">
        <v>178</v>
      </c>
      <c r="K467" s="41">
        <v>0</v>
      </c>
      <c r="L467" s="41" t="s">
        <v>178</v>
      </c>
      <c r="M467" s="41">
        <v>0</v>
      </c>
      <c r="N467" s="39"/>
      <c r="O467" s="39"/>
      <c r="P467" s="5" t="s">
        <v>179</v>
      </c>
      <c r="Q467" s="41"/>
      <c r="R467" s="5" t="s">
        <v>112</v>
      </c>
      <c r="S467" s="41">
        <v>3</v>
      </c>
      <c r="T467" s="41" t="s">
        <v>253</v>
      </c>
      <c r="U467" s="41"/>
      <c r="V467" s="41" t="s">
        <v>253</v>
      </c>
      <c r="W467" s="174"/>
      <c r="X467" s="174"/>
      <c r="Y467" s="41"/>
      <c r="Z467" s="42" t="s">
        <v>141</v>
      </c>
      <c r="AA467" s="37" t="s">
        <v>2127</v>
      </c>
      <c r="AB467" s="42"/>
      <c r="AC467" s="42" t="s">
        <v>262</v>
      </c>
      <c r="AD467" s="51"/>
      <c r="AE467" s="51"/>
      <c r="AF467" s="38">
        <f t="shared" si="15"/>
        <v>56</v>
      </c>
      <c r="AG467" s="7">
        <v>40</v>
      </c>
      <c r="AH467" s="7"/>
      <c r="AI467" s="7">
        <v>40</v>
      </c>
      <c r="AJ467" s="7"/>
      <c r="AK467" s="7">
        <v>100</v>
      </c>
      <c r="AL467" s="7"/>
      <c r="AM467" s="7">
        <v>80</v>
      </c>
      <c r="AN467" s="7"/>
      <c r="AO467" s="63">
        <v>5.8</v>
      </c>
      <c r="AP467" s="58"/>
      <c r="AQ467" s="58"/>
      <c r="AR467" s="58"/>
      <c r="AS467" s="30">
        <v>0</v>
      </c>
      <c r="AT467" s="30">
        <v>0</v>
      </c>
      <c r="AU467" s="30">
        <v>0</v>
      </c>
      <c r="AV467" s="197">
        <v>0</v>
      </c>
      <c r="AW467" s="197">
        <v>0</v>
      </c>
      <c r="AX467" s="197">
        <v>0</v>
      </c>
      <c r="AY467" s="203"/>
      <c r="AZ467" s="203"/>
      <c r="BA467" s="203">
        <v>0</v>
      </c>
      <c r="BB467" s="191" t="s">
        <v>2128</v>
      </c>
      <c r="BC467" s="191"/>
      <c r="BD467" s="190">
        <v>1</v>
      </c>
      <c r="BE467" s="40"/>
      <c r="BF467" s="187"/>
      <c r="BG467" s="183"/>
      <c r="BH467" s="183"/>
    </row>
    <row r="468" spans="1:60" ht="30" hidden="1" customHeight="1">
      <c r="A468" s="168" t="s">
        <v>476</v>
      </c>
      <c r="B468" s="119" t="s">
        <v>2129</v>
      </c>
      <c r="C468" s="119">
        <v>2025</v>
      </c>
      <c r="D468" s="119"/>
      <c r="E468" s="118" t="s">
        <v>107</v>
      </c>
      <c r="F468" s="118" t="s">
        <v>108</v>
      </c>
      <c r="G468" s="119"/>
      <c r="H468" s="119"/>
      <c r="I468" s="118"/>
      <c r="J468" s="41" t="s">
        <v>178</v>
      </c>
      <c r="K468" s="41">
        <v>1</v>
      </c>
      <c r="L468" s="41" t="s">
        <v>178</v>
      </c>
      <c r="M468" s="41">
        <v>1</v>
      </c>
      <c r="N468" s="39"/>
      <c r="O468" s="39"/>
      <c r="P468" s="5" t="s">
        <v>179</v>
      </c>
      <c r="Q468" s="41"/>
      <c r="R468" s="5" t="s">
        <v>112</v>
      </c>
      <c r="S468" s="41">
        <v>4</v>
      </c>
      <c r="T468" s="41" t="s">
        <v>139</v>
      </c>
      <c r="U468" s="41"/>
      <c r="V468" s="41"/>
      <c r="W468" s="174"/>
      <c r="X468" s="174"/>
      <c r="Y468" s="41"/>
      <c r="Z468" s="42"/>
      <c r="AA468" s="42"/>
      <c r="AB468" s="42"/>
      <c r="AC468" s="42"/>
      <c r="AD468" s="42"/>
      <c r="AE468" s="42"/>
      <c r="AF468" s="38">
        <f t="shared" si="15"/>
        <v>56</v>
      </c>
      <c r="AG468" s="7">
        <v>80</v>
      </c>
      <c r="AH468" s="7"/>
      <c r="AI468" s="7">
        <v>40</v>
      </c>
      <c r="AJ468" s="7"/>
      <c r="AK468" s="7">
        <v>40</v>
      </c>
      <c r="AL468" s="7"/>
      <c r="AM468" s="7">
        <v>40</v>
      </c>
      <c r="AN468" s="7"/>
      <c r="AO468" s="63">
        <v>5.8</v>
      </c>
      <c r="AP468" s="58">
        <v>1600</v>
      </c>
      <c r="AQ468" s="58">
        <v>420</v>
      </c>
      <c r="AR468" s="58">
        <v>420</v>
      </c>
      <c r="AS468" s="30">
        <v>17052</v>
      </c>
      <c r="AT468" s="30">
        <v>9280</v>
      </c>
      <c r="AU468" s="30">
        <v>26332</v>
      </c>
      <c r="AV468" s="197">
        <v>17052</v>
      </c>
      <c r="AW468" s="197">
        <v>9280</v>
      </c>
      <c r="AX468" s="197">
        <v>26332</v>
      </c>
      <c r="AY468" s="203"/>
      <c r="AZ468" s="203"/>
      <c r="BA468" s="203">
        <v>0</v>
      </c>
      <c r="BB468" s="191" t="s">
        <v>2130</v>
      </c>
      <c r="BC468" s="191"/>
      <c r="BD468" s="190">
        <v>3</v>
      </c>
      <c r="BE468" s="40" t="s">
        <v>1914</v>
      </c>
      <c r="BF468" s="187"/>
      <c r="BG468" s="183"/>
      <c r="BH468" s="183"/>
    </row>
    <row r="469" spans="1:60" ht="30" hidden="1" customHeight="1">
      <c r="A469" s="168" t="s">
        <v>2131</v>
      </c>
      <c r="B469" s="119" t="s">
        <v>2132</v>
      </c>
      <c r="C469" s="119">
        <v>2025</v>
      </c>
      <c r="D469" s="119"/>
      <c r="E469" s="118" t="s">
        <v>107</v>
      </c>
      <c r="F469" s="118" t="s">
        <v>108</v>
      </c>
      <c r="G469" s="119" t="s">
        <v>186</v>
      </c>
      <c r="H469" s="119"/>
      <c r="I469" s="118"/>
      <c r="J469" s="41" t="s">
        <v>178</v>
      </c>
      <c r="K469" s="41">
        <v>1</v>
      </c>
      <c r="L469" s="41" t="s">
        <v>178</v>
      </c>
      <c r="M469" s="41">
        <v>1</v>
      </c>
      <c r="N469" s="39"/>
      <c r="O469" s="39"/>
      <c r="P469" s="5" t="s">
        <v>179</v>
      </c>
      <c r="Q469" s="41"/>
      <c r="R469" s="5" t="s">
        <v>112</v>
      </c>
      <c r="S469" s="41">
        <v>5</v>
      </c>
      <c r="T469" s="41" t="s">
        <v>139</v>
      </c>
      <c r="U469" s="41"/>
      <c r="V469" s="41"/>
      <c r="W469" s="174"/>
      <c r="X469" s="174"/>
      <c r="Y469" s="41"/>
      <c r="Z469" s="42" t="s">
        <v>2001</v>
      </c>
      <c r="AA469" s="37" t="s">
        <v>2133</v>
      </c>
      <c r="AB469" s="42" t="s">
        <v>118</v>
      </c>
      <c r="AC469" s="42" t="s">
        <v>700</v>
      </c>
      <c r="AD469" s="51"/>
      <c r="AE469" s="51"/>
      <c r="AF469" s="38">
        <f t="shared" si="15"/>
        <v>56</v>
      </c>
      <c r="AG469" s="7">
        <v>60</v>
      </c>
      <c r="AH469" s="7"/>
      <c r="AI469" s="7">
        <v>80</v>
      </c>
      <c r="AJ469" s="7"/>
      <c r="AK469" s="7">
        <v>0</v>
      </c>
      <c r="AL469" s="7"/>
      <c r="AM469" s="7">
        <v>80</v>
      </c>
      <c r="AN469" s="7"/>
      <c r="AO469" s="63">
        <v>5.8</v>
      </c>
      <c r="AP469" s="58">
        <v>1600</v>
      </c>
      <c r="AQ469" s="58">
        <v>390</v>
      </c>
      <c r="AR469" s="58">
        <v>390</v>
      </c>
      <c r="AS469" s="30">
        <v>18096</v>
      </c>
      <c r="AT469" s="30">
        <v>9280</v>
      </c>
      <c r="AU469" s="30">
        <v>27376</v>
      </c>
      <c r="AV469" s="197">
        <v>18096</v>
      </c>
      <c r="AW469" s="197">
        <v>9280</v>
      </c>
      <c r="AX469" s="197">
        <v>27376</v>
      </c>
      <c r="AY469" s="203"/>
      <c r="AZ469" s="203"/>
      <c r="BA469" s="203">
        <v>0</v>
      </c>
      <c r="BB469" s="191" t="s">
        <v>1016</v>
      </c>
      <c r="BC469" s="191"/>
      <c r="BD469" s="190">
        <v>3</v>
      </c>
      <c r="BE469" s="40"/>
      <c r="BF469" s="187"/>
      <c r="BG469" s="183"/>
      <c r="BH469" s="183"/>
    </row>
    <row r="470" spans="1:60" ht="30" hidden="1" customHeight="1">
      <c r="A470" s="168" t="s">
        <v>239</v>
      </c>
      <c r="B470" s="119" t="s">
        <v>2134</v>
      </c>
      <c r="C470" s="119" t="s">
        <v>1273</v>
      </c>
      <c r="D470" s="119"/>
      <c r="E470" s="118" t="s">
        <v>107</v>
      </c>
      <c r="F470" s="118" t="s">
        <v>108</v>
      </c>
      <c r="G470" s="119" t="s">
        <v>186</v>
      </c>
      <c r="H470" s="119"/>
      <c r="I470" s="118"/>
      <c r="J470" s="41" t="s">
        <v>178</v>
      </c>
      <c r="K470" s="41">
        <v>1</v>
      </c>
      <c r="L470" s="41" t="s">
        <v>178</v>
      </c>
      <c r="M470" s="41">
        <v>1</v>
      </c>
      <c r="N470" s="39"/>
      <c r="O470" s="39"/>
      <c r="P470" s="5" t="s">
        <v>179</v>
      </c>
      <c r="Q470" s="41"/>
      <c r="R470" s="5" t="s">
        <v>112</v>
      </c>
      <c r="S470" s="41">
        <v>5</v>
      </c>
      <c r="T470" s="41" t="s">
        <v>139</v>
      </c>
      <c r="U470" s="41"/>
      <c r="V470" s="41"/>
      <c r="W470" s="174"/>
      <c r="X470" s="174"/>
      <c r="Y470" s="41"/>
      <c r="Z470" s="42"/>
      <c r="AA470" s="37"/>
      <c r="AB470" s="42"/>
      <c r="AC470" s="42" t="s">
        <v>119</v>
      </c>
      <c r="AD470" s="51"/>
      <c r="AE470" s="51"/>
      <c r="AF470" s="38">
        <f t="shared" si="15"/>
        <v>56</v>
      </c>
      <c r="AG470" s="7">
        <v>80</v>
      </c>
      <c r="AH470" s="7"/>
      <c r="AI470" s="7">
        <v>40</v>
      </c>
      <c r="AJ470" s="7"/>
      <c r="AK470" s="7">
        <v>40</v>
      </c>
      <c r="AL470" s="7"/>
      <c r="AM470" s="7">
        <v>40</v>
      </c>
      <c r="AN470" s="7"/>
      <c r="AO470" s="63">
        <v>5.8</v>
      </c>
      <c r="AP470" s="58">
        <v>1600</v>
      </c>
      <c r="AQ470" s="58">
        <v>370</v>
      </c>
      <c r="AR470" s="58">
        <v>370</v>
      </c>
      <c r="AS470" s="30">
        <v>17168</v>
      </c>
      <c r="AT470" s="30">
        <v>9280</v>
      </c>
      <c r="AU470" s="30">
        <v>26448</v>
      </c>
      <c r="AV470" s="197">
        <v>17168</v>
      </c>
      <c r="AW470" s="197">
        <v>9280</v>
      </c>
      <c r="AX470" s="197">
        <v>26448</v>
      </c>
      <c r="AY470" s="203"/>
      <c r="AZ470" s="203"/>
      <c r="BA470" s="203">
        <v>0</v>
      </c>
      <c r="BB470" s="191" t="s">
        <v>2135</v>
      </c>
      <c r="BC470" s="191"/>
      <c r="BD470" s="190">
        <v>3</v>
      </c>
      <c r="BE470" s="40"/>
      <c r="BF470" s="187"/>
      <c r="BG470" s="183"/>
      <c r="BH470" s="183"/>
    </row>
    <row r="471" spans="1:60" ht="30" hidden="1" customHeight="1">
      <c r="A471" s="115" t="s">
        <v>2131</v>
      </c>
      <c r="B471" s="116" t="s">
        <v>2136</v>
      </c>
      <c r="C471" s="119" t="s">
        <v>2137</v>
      </c>
      <c r="D471" s="119"/>
      <c r="E471" s="118" t="s">
        <v>107</v>
      </c>
      <c r="F471" s="118" t="s">
        <v>108</v>
      </c>
      <c r="G471" s="119" t="s">
        <v>186</v>
      </c>
      <c r="H471" s="119"/>
      <c r="I471" s="118"/>
      <c r="J471" s="41" t="s">
        <v>178</v>
      </c>
      <c r="K471" s="41">
        <v>1</v>
      </c>
      <c r="L471" s="41" t="s">
        <v>178</v>
      </c>
      <c r="M471" s="41">
        <v>1</v>
      </c>
      <c r="N471" s="39"/>
      <c r="O471" s="39"/>
      <c r="P471" s="5" t="s">
        <v>179</v>
      </c>
      <c r="Q471" s="41"/>
      <c r="R471" s="5" t="s">
        <v>112</v>
      </c>
      <c r="S471" s="41">
        <v>5</v>
      </c>
      <c r="T471" s="41" t="s">
        <v>139</v>
      </c>
      <c r="U471" s="41"/>
      <c r="V471" s="41"/>
      <c r="W471" s="174"/>
      <c r="X471" s="174"/>
      <c r="Y471" s="41"/>
      <c r="Z471" s="42" t="s">
        <v>2001</v>
      </c>
      <c r="AA471" s="37" t="s">
        <v>2138</v>
      </c>
      <c r="AB471" s="42" t="s">
        <v>118</v>
      </c>
      <c r="AC471" s="42" t="s">
        <v>700</v>
      </c>
      <c r="AD471" s="51"/>
      <c r="AE471" s="51"/>
      <c r="AF471" s="38">
        <f t="shared" si="15"/>
        <v>56</v>
      </c>
      <c r="AG471" s="7">
        <v>60</v>
      </c>
      <c r="AH471" s="7"/>
      <c r="AI471" s="7">
        <v>80</v>
      </c>
      <c r="AJ471" s="7"/>
      <c r="AK471" s="7">
        <v>0</v>
      </c>
      <c r="AL471" s="7"/>
      <c r="AM471" s="7">
        <v>80</v>
      </c>
      <c r="AN471" s="7"/>
      <c r="AO471" s="63">
        <v>5.8</v>
      </c>
      <c r="AP471" s="58">
        <v>1600</v>
      </c>
      <c r="AQ471" s="58">
        <v>390</v>
      </c>
      <c r="AR471" s="58">
        <v>390</v>
      </c>
      <c r="AS471" s="30">
        <v>18096</v>
      </c>
      <c r="AT471" s="30">
        <v>9280</v>
      </c>
      <c r="AU471" s="30">
        <v>27376</v>
      </c>
      <c r="AV471" s="197">
        <v>18096</v>
      </c>
      <c r="AW471" s="197">
        <v>9280</v>
      </c>
      <c r="AX471" s="197">
        <v>27376</v>
      </c>
      <c r="AY471" s="203"/>
      <c r="AZ471" s="203"/>
      <c r="BA471" s="203">
        <v>0</v>
      </c>
      <c r="BB471" s="191" t="s">
        <v>1016</v>
      </c>
      <c r="BC471" s="191"/>
      <c r="BD471" s="190">
        <v>3</v>
      </c>
      <c r="BE471" s="40"/>
      <c r="BF471" s="187"/>
      <c r="BG471" s="183"/>
      <c r="BH471" s="183"/>
    </row>
    <row r="472" spans="1:60" ht="30" hidden="1" customHeight="1">
      <c r="A472" s="168" t="s">
        <v>871</v>
      </c>
      <c r="B472" s="119" t="s">
        <v>2139</v>
      </c>
      <c r="C472" s="119" t="s">
        <v>1200</v>
      </c>
      <c r="D472" s="119"/>
      <c r="E472" s="118" t="s">
        <v>216</v>
      </c>
      <c r="F472" s="118" t="s">
        <v>340</v>
      </c>
      <c r="G472" s="119" t="s">
        <v>2140</v>
      </c>
      <c r="H472" s="119"/>
      <c r="I472" s="118"/>
      <c r="J472" s="41" t="s">
        <v>178</v>
      </c>
      <c r="K472" s="41">
        <v>4</v>
      </c>
      <c r="L472" s="41" t="s">
        <v>178</v>
      </c>
      <c r="M472" s="41">
        <v>4</v>
      </c>
      <c r="N472" s="39"/>
      <c r="O472" s="39"/>
      <c r="P472" s="5" t="s">
        <v>179</v>
      </c>
      <c r="Q472" s="41"/>
      <c r="R472" s="5" t="s">
        <v>112</v>
      </c>
      <c r="S472" s="41">
        <v>5</v>
      </c>
      <c r="T472" s="41" t="s">
        <v>873</v>
      </c>
      <c r="U472" s="41"/>
      <c r="V472" s="41"/>
      <c r="W472" s="174"/>
      <c r="X472" s="174"/>
      <c r="Y472" s="41"/>
      <c r="Z472" s="42" t="s">
        <v>141</v>
      </c>
      <c r="AA472" s="42" t="s">
        <v>2141</v>
      </c>
      <c r="AB472" s="42" t="s">
        <v>345</v>
      </c>
      <c r="AC472" s="42"/>
      <c r="AD472" s="42"/>
      <c r="AE472" s="42"/>
      <c r="AF472" s="38">
        <f t="shared" si="15"/>
        <v>56</v>
      </c>
      <c r="AG472" s="7">
        <v>40</v>
      </c>
      <c r="AH472" s="7"/>
      <c r="AI472" s="7">
        <v>80</v>
      </c>
      <c r="AJ472" s="7"/>
      <c r="AK472" s="7">
        <v>40</v>
      </c>
      <c r="AL472" s="7"/>
      <c r="AM472" s="7">
        <v>80</v>
      </c>
      <c r="AN472" s="7"/>
      <c r="AO472" s="63">
        <v>5.8</v>
      </c>
      <c r="AP472" s="58">
        <v>1600</v>
      </c>
      <c r="AQ472" s="58">
        <v>330</v>
      </c>
      <c r="AR472" s="58">
        <v>330</v>
      </c>
      <c r="AS472" s="30">
        <v>61248</v>
      </c>
      <c r="AT472" s="30">
        <v>37120</v>
      </c>
      <c r="AU472" s="30">
        <v>98368</v>
      </c>
      <c r="AV472" s="197">
        <v>61248</v>
      </c>
      <c r="AW472" s="197">
        <v>37120</v>
      </c>
      <c r="AX472" s="197">
        <v>98368</v>
      </c>
      <c r="AY472" s="203"/>
      <c r="AZ472" s="203"/>
      <c r="BA472" s="203">
        <v>0</v>
      </c>
      <c r="BB472" s="191" t="s">
        <v>1082</v>
      </c>
      <c r="BC472" s="191"/>
      <c r="BD472" s="189">
        <v>3</v>
      </c>
      <c r="BE472" s="40" t="s">
        <v>2142</v>
      </c>
      <c r="BF472" s="187"/>
      <c r="BG472" s="183"/>
      <c r="BH472" s="183"/>
    </row>
    <row r="473" spans="1:60" ht="30" hidden="1" customHeight="1">
      <c r="A473" s="168" t="s">
        <v>2143</v>
      </c>
      <c r="B473" s="119" t="s">
        <v>2144</v>
      </c>
      <c r="C473" s="119" t="s">
        <v>2144</v>
      </c>
      <c r="D473" s="119"/>
      <c r="E473" s="118" t="s">
        <v>176</v>
      </c>
      <c r="F473" s="118" t="s">
        <v>651</v>
      </c>
      <c r="G473" s="119"/>
      <c r="H473" s="119"/>
      <c r="I473" s="118"/>
      <c r="J473" s="41" t="s">
        <v>178</v>
      </c>
      <c r="K473" s="41">
        <v>1</v>
      </c>
      <c r="L473" s="41" t="s">
        <v>178</v>
      </c>
      <c r="M473" s="41">
        <v>1</v>
      </c>
      <c r="N473" s="39"/>
      <c r="O473" s="39"/>
      <c r="P473" s="5" t="s">
        <v>179</v>
      </c>
      <c r="Q473" s="41"/>
      <c r="R473" s="41" t="s">
        <v>112</v>
      </c>
      <c r="S473" s="41">
        <v>3</v>
      </c>
      <c r="T473" s="41" t="s">
        <v>801</v>
      </c>
      <c r="U473" s="41"/>
      <c r="V473" s="41"/>
      <c r="W473" s="174"/>
      <c r="X473" s="174"/>
      <c r="Y473" s="41"/>
      <c r="Z473" s="42" t="s">
        <v>524</v>
      </c>
      <c r="AA473" s="42" t="s">
        <v>2145</v>
      </c>
      <c r="AB473" s="42" t="s">
        <v>561</v>
      </c>
      <c r="AC473" s="42" t="s">
        <v>683</v>
      </c>
      <c r="AD473" s="42"/>
      <c r="AE473" s="42"/>
      <c r="AF473" s="38">
        <f t="shared" si="15"/>
        <v>56</v>
      </c>
      <c r="AG473" s="7">
        <v>60</v>
      </c>
      <c r="AH473" s="7"/>
      <c r="AI473" s="7">
        <v>40</v>
      </c>
      <c r="AJ473" s="7"/>
      <c r="AK473" s="7">
        <v>60</v>
      </c>
      <c r="AL473" s="7"/>
      <c r="AM473" s="7">
        <v>80</v>
      </c>
      <c r="AN473" s="7"/>
      <c r="AO473" s="63">
        <v>5.8</v>
      </c>
      <c r="AP473" s="58">
        <v>1600</v>
      </c>
      <c r="AQ473" s="58">
        <v>420</v>
      </c>
      <c r="AR473" s="58">
        <v>420</v>
      </c>
      <c r="AS473" s="30">
        <v>14616</v>
      </c>
      <c r="AT473" s="30">
        <v>9280</v>
      </c>
      <c r="AU473" s="30">
        <v>23896</v>
      </c>
      <c r="AV473" s="197">
        <v>14616</v>
      </c>
      <c r="AW473" s="197">
        <v>9280</v>
      </c>
      <c r="AX473" s="197">
        <v>23896</v>
      </c>
      <c r="AY473" s="203"/>
      <c r="AZ473" s="203"/>
      <c r="BA473" s="203">
        <v>0</v>
      </c>
      <c r="BB473" s="191" t="s">
        <v>1574</v>
      </c>
      <c r="BC473" s="191"/>
      <c r="BD473" s="189">
        <v>3</v>
      </c>
      <c r="BE473" s="40" t="s">
        <v>661</v>
      </c>
      <c r="BF473" s="187"/>
      <c r="BG473" s="183"/>
      <c r="BH473" s="183"/>
    </row>
    <row r="474" spans="1:60" ht="30" hidden="1" customHeight="1">
      <c r="A474" s="168" t="s">
        <v>2146</v>
      </c>
      <c r="B474" s="119" t="s">
        <v>2147</v>
      </c>
      <c r="C474" s="119">
        <v>2025</v>
      </c>
      <c r="D474" s="119"/>
      <c r="E474" s="118" t="s">
        <v>1505</v>
      </c>
      <c r="F474" s="118" t="s">
        <v>152</v>
      </c>
      <c r="G474" s="119" t="s">
        <v>2148</v>
      </c>
      <c r="H474" s="119"/>
      <c r="I474" s="118"/>
      <c r="J474" s="41" t="s">
        <v>178</v>
      </c>
      <c r="K474" s="41">
        <v>2</v>
      </c>
      <c r="L474" s="41" t="s">
        <v>178</v>
      </c>
      <c r="M474" s="41">
        <v>2</v>
      </c>
      <c r="N474" s="39"/>
      <c r="O474" s="39"/>
      <c r="P474" s="5" t="s">
        <v>179</v>
      </c>
      <c r="Q474" s="41"/>
      <c r="R474" s="41" t="s">
        <v>112</v>
      </c>
      <c r="S474" s="41">
        <v>3</v>
      </c>
      <c r="T474" s="41" t="s">
        <v>2098</v>
      </c>
      <c r="U474" s="41" t="s">
        <v>2149</v>
      </c>
      <c r="V474" s="41"/>
      <c r="W474" s="174"/>
      <c r="X474" s="174"/>
      <c r="Y474" s="41"/>
      <c r="Z474" s="42" t="s">
        <v>524</v>
      </c>
      <c r="AA474" s="42" t="s">
        <v>2150</v>
      </c>
      <c r="AB474" s="42" t="s">
        <v>345</v>
      </c>
      <c r="AC474" s="42"/>
      <c r="AD474" s="42"/>
      <c r="AE474" s="42"/>
      <c r="AF474" s="38">
        <f>PAI2025Planejamento[[#This Row],[1) IMPACTO NO MERCADO]]*$AG$2+PAI2025Planejamento[[#This Row],[2) RELEVÂNCIA TEMÁTICA]]*$AI$2+PAI2025Planejamento[[#This Row],[3) TIPO DE ATUAÇÃO]]*$AK$2+PAI2025Planejamento[[#This Row],[4) TIPO DE FÓRUM]]*$AM$2</f>
        <v>56</v>
      </c>
      <c r="AG474" s="7">
        <v>60</v>
      </c>
      <c r="AH474" s="7"/>
      <c r="AI474" s="7">
        <v>80</v>
      </c>
      <c r="AJ474" s="7"/>
      <c r="AK474" s="7">
        <v>0</v>
      </c>
      <c r="AL474" s="7"/>
      <c r="AM474" s="7">
        <v>80</v>
      </c>
      <c r="AN474" s="7"/>
      <c r="AO474" s="63">
        <v>5.8</v>
      </c>
      <c r="AP474" s="58">
        <v>1600</v>
      </c>
      <c r="AQ474" s="58">
        <v>420</v>
      </c>
      <c r="AR474" s="58">
        <v>420</v>
      </c>
      <c r="AS474" s="30">
        <v>29232</v>
      </c>
      <c r="AT474" s="30">
        <v>18560</v>
      </c>
      <c r="AU474" s="30">
        <v>47792</v>
      </c>
      <c r="AV474" s="197">
        <v>29232</v>
      </c>
      <c r="AW474" s="197">
        <v>18560</v>
      </c>
      <c r="AX474" s="197">
        <v>47792</v>
      </c>
      <c r="AY474" s="203"/>
      <c r="AZ474" s="203"/>
      <c r="BA474" s="203">
        <v>0</v>
      </c>
      <c r="BB474" s="191"/>
      <c r="BC474" s="191"/>
      <c r="BD474" s="190">
        <v>3</v>
      </c>
      <c r="BE474" s="40"/>
      <c r="BF474" s="187"/>
      <c r="BG474" s="183"/>
      <c r="BH474" s="183"/>
    </row>
    <row r="475" spans="1:60" ht="30" hidden="1" customHeight="1">
      <c r="A475" s="168" t="s">
        <v>2116</v>
      </c>
      <c r="B475" s="121" t="s">
        <v>2151</v>
      </c>
      <c r="C475" s="119" t="s">
        <v>340</v>
      </c>
      <c r="D475" s="119"/>
      <c r="E475" s="118" t="s">
        <v>339</v>
      </c>
      <c r="F475" s="117" t="s">
        <v>340</v>
      </c>
      <c r="G475" s="121" t="s">
        <v>2118</v>
      </c>
      <c r="H475" s="121"/>
      <c r="I475" s="41"/>
      <c r="J475" s="41" t="s">
        <v>110</v>
      </c>
      <c r="K475" s="41">
        <v>3</v>
      </c>
      <c r="L475" s="41" t="s">
        <v>110</v>
      </c>
      <c r="M475" s="41">
        <v>2</v>
      </c>
      <c r="N475" s="39"/>
      <c r="O475" s="39"/>
      <c r="P475" s="5" t="s">
        <v>111</v>
      </c>
      <c r="Q475" s="41"/>
      <c r="R475" s="5" t="s">
        <v>112</v>
      </c>
      <c r="S475" s="41">
        <v>5</v>
      </c>
      <c r="T475" s="41" t="s">
        <v>801</v>
      </c>
      <c r="U475" s="41"/>
      <c r="V475" s="41"/>
      <c r="W475" s="174">
        <v>45992</v>
      </c>
      <c r="X475" s="174">
        <v>45992</v>
      </c>
      <c r="Y475" s="41"/>
      <c r="Z475" s="42" t="s">
        <v>141</v>
      </c>
      <c r="AA475" s="42" t="s">
        <v>2119</v>
      </c>
      <c r="AB475" s="42" t="s">
        <v>118</v>
      </c>
      <c r="AC475" s="42" t="s">
        <v>645</v>
      </c>
      <c r="AD475" s="42"/>
      <c r="AE475" s="42"/>
      <c r="AF475" s="38">
        <f>AG475*$AG$2+AI475*$AI$2+AK475*$AK$2+AM475*$AM$2</f>
        <v>84</v>
      </c>
      <c r="AG475" s="39">
        <v>80</v>
      </c>
      <c r="AH475" s="39"/>
      <c r="AI475" s="39">
        <v>80</v>
      </c>
      <c r="AJ475" s="39" t="s">
        <v>2120</v>
      </c>
      <c r="AK475" s="39">
        <v>100</v>
      </c>
      <c r="AL475" s="39" t="s">
        <v>2121</v>
      </c>
      <c r="AM475" s="39">
        <v>80</v>
      </c>
      <c r="AN475" s="39"/>
      <c r="AO475" s="63">
        <v>5.8</v>
      </c>
      <c r="AP475" s="58">
        <v>1600</v>
      </c>
      <c r="AQ475" s="62">
        <f>AVERAGE(420.37,370)</f>
        <v>395.185</v>
      </c>
      <c r="AR475" s="62">
        <f>AVERAGE(420.37)</f>
        <v>420.37</v>
      </c>
      <c r="AS475" s="30">
        <v>55009.751999999993</v>
      </c>
      <c r="AT475" s="30">
        <v>27840</v>
      </c>
      <c r="AU475" s="30">
        <v>82849.751999999993</v>
      </c>
      <c r="AV475" s="197">
        <v>39010.335999999996</v>
      </c>
      <c r="AW475" s="197">
        <v>18560</v>
      </c>
      <c r="AX475" s="197">
        <v>57570.335999999996</v>
      </c>
      <c r="AY475" s="203"/>
      <c r="AZ475" s="203"/>
      <c r="BA475" s="203">
        <v>0</v>
      </c>
      <c r="BB475" s="191" t="s">
        <v>2122</v>
      </c>
      <c r="BC475" s="191"/>
      <c r="BD475" s="189">
        <v>3</v>
      </c>
      <c r="BE475" s="40"/>
      <c r="BF475" s="187"/>
      <c r="BG475" s="183"/>
      <c r="BH475" s="183"/>
    </row>
    <row r="476" spans="1:60" ht="30" hidden="1" customHeight="1">
      <c r="A476" s="168" t="s">
        <v>2152</v>
      </c>
      <c r="B476" s="119" t="s">
        <v>2153</v>
      </c>
      <c r="C476" s="119" t="s">
        <v>2152</v>
      </c>
      <c r="D476" s="119"/>
      <c r="E476" s="118" t="s">
        <v>1505</v>
      </c>
      <c r="F476" s="118" t="s">
        <v>340</v>
      </c>
      <c r="G476" s="119" t="s">
        <v>2154</v>
      </c>
      <c r="H476" s="119"/>
      <c r="I476" s="118"/>
      <c r="J476" s="41" t="s">
        <v>178</v>
      </c>
      <c r="K476" s="41">
        <v>2</v>
      </c>
      <c r="L476" s="41" t="s">
        <v>178</v>
      </c>
      <c r="M476" s="41">
        <v>2</v>
      </c>
      <c r="N476" s="39" t="s">
        <v>115</v>
      </c>
      <c r="O476" s="39">
        <v>2</v>
      </c>
      <c r="P476" s="5" t="s">
        <v>179</v>
      </c>
      <c r="Q476" s="41"/>
      <c r="R476" s="41" t="s">
        <v>112</v>
      </c>
      <c r="S476" s="41">
        <v>4</v>
      </c>
      <c r="T476" s="41" t="s">
        <v>113</v>
      </c>
      <c r="U476" s="41"/>
      <c r="V476" s="41"/>
      <c r="W476" s="175">
        <v>45992</v>
      </c>
      <c r="X476" s="175">
        <v>45992</v>
      </c>
      <c r="Y476" s="41"/>
      <c r="Z476" s="42" t="s">
        <v>524</v>
      </c>
      <c r="AA476" s="42" t="s">
        <v>2155</v>
      </c>
      <c r="AB476" s="42" t="s">
        <v>345</v>
      </c>
      <c r="AC476" s="42"/>
      <c r="AD476" s="42"/>
      <c r="AE476" s="42"/>
      <c r="AF476" s="38">
        <f>PAI2025Planejamento[[#This Row],[1) IMPACTO NO MERCADO]]*$AG$2+PAI2025Planejamento[[#This Row],[2) RELEVÂNCIA TEMÁTICA]]*$AI$2+PAI2025Planejamento[[#This Row],[3) TIPO DE ATUAÇÃO]]*$AK$2+PAI2025Planejamento[[#This Row],[4) TIPO DE FÓRUM]]*$AM$2</f>
        <v>56</v>
      </c>
      <c r="AG476" s="7">
        <v>60</v>
      </c>
      <c r="AH476" s="7"/>
      <c r="AI476" s="7">
        <v>80</v>
      </c>
      <c r="AJ476" s="7"/>
      <c r="AK476" s="7">
        <v>0</v>
      </c>
      <c r="AL476" s="7"/>
      <c r="AM476" s="7">
        <v>80</v>
      </c>
      <c r="AN476" s="7"/>
      <c r="AO476" s="63">
        <v>5.8</v>
      </c>
      <c r="AP476" s="58">
        <v>1600</v>
      </c>
      <c r="AQ476" s="58">
        <v>420</v>
      </c>
      <c r="AR476" s="58">
        <v>420</v>
      </c>
      <c r="AS476" s="30">
        <v>34104</v>
      </c>
      <c r="AT476" s="30">
        <v>18560</v>
      </c>
      <c r="AU476" s="30">
        <v>52664</v>
      </c>
      <c r="AV476" s="197">
        <v>34104</v>
      </c>
      <c r="AW476" s="197">
        <v>18560</v>
      </c>
      <c r="AX476" s="197">
        <v>52664</v>
      </c>
      <c r="AY476" s="203"/>
      <c r="AZ476" s="203"/>
      <c r="BA476" s="203">
        <v>0</v>
      </c>
      <c r="BB476" s="191"/>
      <c r="BC476" s="191"/>
      <c r="BD476" s="190">
        <v>3</v>
      </c>
      <c r="BE476" s="40"/>
      <c r="BF476" s="187"/>
      <c r="BG476" s="183"/>
      <c r="BH476" s="183"/>
    </row>
    <row r="477" spans="1:60" ht="30" customHeight="1">
      <c r="A477" s="168" t="s">
        <v>192</v>
      </c>
      <c r="B477" s="119" t="s">
        <v>2156</v>
      </c>
      <c r="C477" s="119" t="s">
        <v>456</v>
      </c>
      <c r="D477" s="119"/>
      <c r="E477" s="118" t="s">
        <v>195</v>
      </c>
      <c r="F477" s="118" t="s">
        <v>293</v>
      </c>
      <c r="G477" s="119"/>
      <c r="H477" s="119"/>
      <c r="I477" s="118"/>
      <c r="J477" s="41" t="s">
        <v>178</v>
      </c>
      <c r="K477" s="41">
        <v>1</v>
      </c>
      <c r="L477" s="41" t="s">
        <v>178</v>
      </c>
      <c r="M477" s="41">
        <v>1</v>
      </c>
      <c r="N477" s="39"/>
      <c r="O477" s="39"/>
      <c r="P477" s="5" t="s">
        <v>179</v>
      </c>
      <c r="Q477" s="41"/>
      <c r="R477" s="5" t="s">
        <v>112</v>
      </c>
      <c r="S477" s="41">
        <v>5</v>
      </c>
      <c r="T477" s="41" t="s">
        <v>801</v>
      </c>
      <c r="U477" s="41"/>
      <c r="V477" s="41"/>
      <c r="W477" s="174"/>
      <c r="X477" s="174"/>
      <c r="Y477" s="41"/>
      <c r="Z477" s="42" t="s">
        <v>306</v>
      </c>
      <c r="AA477" s="37" t="s">
        <v>1664</v>
      </c>
      <c r="AB477" s="42" t="s">
        <v>517</v>
      </c>
      <c r="AC477" s="42"/>
      <c r="AD477" s="51"/>
      <c r="AE477" s="51"/>
      <c r="AF477" s="38">
        <f t="shared" ref="AF477:AF482" si="16">AG477*$AG$2+AI477*$AI$2+AK477*$AK$2+AM477*$AM$2</f>
        <v>56</v>
      </c>
      <c r="AG477" s="7">
        <v>40</v>
      </c>
      <c r="AH477" s="7"/>
      <c r="AI477" s="7">
        <v>40</v>
      </c>
      <c r="AJ477" s="7"/>
      <c r="AK477" s="7">
        <v>100</v>
      </c>
      <c r="AL477" s="7"/>
      <c r="AM477" s="7">
        <v>80</v>
      </c>
      <c r="AN477" s="7"/>
      <c r="AO477" s="63">
        <v>5.8</v>
      </c>
      <c r="AP477" s="58">
        <v>1600</v>
      </c>
      <c r="AQ477" s="58">
        <v>420</v>
      </c>
      <c r="AR477" s="58">
        <v>420</v>
      </c>
      <c r="AS477" s="30">
        <v>19488</v>
      </c>
      <c r="AT477" s="30">
        <v>9280</v>
      </c>
      <c r="AU477" s="30">
        <v>28768</v>
      </c>
      <c r="AV477" s="197">
        <v>19488</v>
      </c>
      <c r="AW477" s="197">
        <v>9280</v>
      </c>
      <c r="AX477" s="197">
        <v>28768</v>
      </c>
      <c r="AY477" s="203"/>
      <c r="AZ477" s="203"/>
      <c r="BA477" s="203">
        <v>0</v>
      </c>
      <c r="BB477" s="191"/>
      <c r="BC477" s="191"/>
      <c r="BD477" s="190">
        <v>3</v>
      </c>
      <c r="BE477" s="40"/>
      <c r="BF477" s="187"/>
      <c r="BG477" s="183"/>
      <c r="BH477" s="183"/>
    </row>
    <row r="478" spans="1:60" ht="30" hidden="1" customHeight="1">
      <c r="A478" s="168" t="s">
        <v>2157</v>
      </c>
      <c r="B478" s="119" t="s">
        <v>2158</v>
      </c>
      <c r="C478" s="119">
        <v>2025</v>
      </c>
      <c r="D478" s="119"/>
      <c r="E478" s="118" t="s">
        <v>216</v>
      </c>
      <c r="F478" s="118" t="s">
        <v>217</v>
      </c>
      <c r="G478" s="119" t="s">
        <v>2159</v>
      </c>
      <c r="H478" s="119"/>
      <c r="I478" s="118"/>
      <c r="J478" s="41" t="s">
        <v>178</v>
      </c>
      <c r="K478" s="41">
        <v>1</v>
      </c>
      <c r="L478" s="41" t="s">
        <v>178</v>
      </c>
      <c r="M478" s="41">
        <v>1</v>
      </c>
      <c r="N478" s="39"/>
      <c r="O478" s="39"/>
      <c r="P478" s="5" t="s">
        <v>179</v>
      </c>
      <c r="Q478" s="41"/>
      <c r="R478" s="5" t="s">
        <v>112</v>
      </c>
      <c r="S478" s="41">
        <v>1</v>
      </c>
      <c r="T478" s="41" t="s">
        <v>139</v>
      </c>
      <c r="U478" s="41"/>
      <c r="V478" s="41"/>
      <c r="W478" s="174"/>
      <c r="X478" s="174"/>
      <c r="Y478" s="41"/>
      <c r="Z478" s="42" t="s">
        <v>267</v>
      </c>
      <c r="AA478" s="42" t="s">
        <v>2160</v>
      </c>
      <c r="AB478" s="42" t="s">
        <v>118</v>
      </c>
      <c r="AC478" s="42"/>
      <c r="AD478" s="42"/>
      <c r="AE478" s="42"/>
      <c r="AF478" s="38">
        <f t="shared" si="16"/>
        <v>54</v>
      </c>
      <c r="AG478" s="7">
        <v>60</v>
      </c>
      <c r="AH478" s="7" t="s">
        <v>2161</v>
      </c>
      <c r="AI478" s="7">
        <v>40</v>
      </c>
      <c r="AJ478" s="7" t="s">
        <v>2162</v>
      </c>
      <c r="AK478" s="7">
        <v>60</v>
      </c>
      <c r="AL478" s="7" t="s">
        <v>2163</v>
      </c>
      <c r="AM478" s="7">
        <v>60</v>
      </c>
      <c r="AN478" s="7" t="s">
        <v>865</v>
      </c>
      <c r="AO478" s="63">
        <v>5.8</v>
      </c>
      <c r="AP478" s="58">
        <v>1600</v>
      </c>
      <c r="AQ478" s="58">
        <v>420</v>
      </c>
      <c r="AR478" s="58">
        <v>420</v>
      </c>
      <c r="AS478" s="30">
        <v>9744</v>
      </c>
      <c r="AT478" s="30">
        <v>9280</v>
      </c>
      <c r="AU478" s="30">
        <v>19024</v>
      </c>
      <c r="AV478" s="197">
        <v>9744</v>
      </c>
      <c r="AW478" s="197">
        <v>9280</v>
      </c>
      <c r="AX478" s="197">
        <v>19024</v>
      </c>
      <c r="AY478" s="203"/>
      <c r="AZ478" s="203"/>
      <c r="BA478" s="203">
        <v>0</v>
      </c>
      <c r="BB478" s="191" t="s">
        <v>1473</v>
      </c>
      <c r="BC478" s="191"/>
      <c r="BD478" s="189">
        <v>3</v>
      </c>
      <c r="BE478" s="40" t="s">
        <v>1083</v>
      </c>
      <c r="BF478" s="187"/>
      <c r="BG478" s="183"/>
      <c r="BH478" s="183"/>
    </row>
    <row r="479" spans="1:60" ht="30" hidden="1" customHeight="1">
      <c r="A479" s="168" t="s">
        <v>2164</v>
      </c>
      <c r="B479" s="119" t="s">
        <v>2165</v>
      </c>
      <c r="C479" s="119" t="s">
        <v>2164</v>
      </c>
      <c r="D479" s="119"/>
      <c r="E479" s="118" t="s">
        <v>434</v>
      </c>
      <c r="F479" s="118" t="s">
        <v>166</v>
      </c>
      <c r="G479" s="119" t="s">
        <v>2166</v>
      </c>
      <c r="H479" s="119"/>
      <c r="I479" s="118"/>
      <c r="J479" s="41" t="s">
        <v>178</v>
      </c>
      <c r="K479" s="41">
        <v>1</v>
      </c>
      <c r="L479" s="41" t="s">
        <v>178</v>
      </c>
      <c r="M479" s="41">
        <v>1</v>
      </c>
      <c r="N479" s="39"/>
      <c r="O479" s="39"/>
      <c r="P479" s="5" t="s">
        <v>179</v>
      </c>
      <c r="Q479" s="41"/>
      <c r="R479" s="5" t="s">
        <v>112</v>
      </c>
      <c r="S479" s="41">
        <v>2</v>
      </c>
      <c r="T479" s="41" t="s">
        <v>924</v>
      </c>
      <c r="U479" s="41"/>
      <c r="V479" s="41" t="s">
        <v>115</v>
      </c>
      <c r="W479" s="174"/>
      <c r="X479" s="174"/>
      <c r="Y479" s="41"/>
      <c r="Z479" s="42" t="s">
        <v>267</v>
      </c>
      <c r="AA479" s="37" t="s">
        <v>2167</v>
      </c>
      <c r="AB479" s="42" t="s">
        <v>2168</v>
      </c>
      <c r="AC479" s="42" t="s">
        <v>562</v>
      </c>
      <c r="AD479" s="51"/>
      <c r="AE479" s="51"/>
      <c r="AF479" s="38">
        <f t="shared" si="16"/>
        <v>54</v>
      </c>
      <c r="AG479" s="7">
        <v>60</v>
      </c>
      <c r="AH479" s="7"/>
      <c r="AI479" s="7">
        <v>40</v>
      </c>
      <c r="AJ479" s="7"/>
      <c r="AK479" s="7">
        <v>60</v>
      </c>
      <c r="AL479" s="7"/>
      <c r="AM479" s="7">
        <v>60</v>
      </c>
      <c r="AN479" s="7"/>
      <c r="AO479" s="63">
        <v>5.8</v>
      </c>
      <c r="AP479" s="58">
        <v>800</v>
      </c>
      <c r="AQ479" s="58">
        <v>280</v>
      </c>
      <c r="AR479" s="58">
        <v>280</v>
      </c>
      <c r="AS479" s="30">
        <v>6496</v>
      </c>
      <c r="AT479" s="30">
        <v>4640</v>
      </c>
      <c r="AU479" s="30">
        <v>11136</v>
      </c>
      <c r="AV479" s="197">
        <v>6496</v>
      </c>
      <c r="AW479" s="197">
        <v>4640</v>
      </c>
      <c r="AX479" s="197">
        <v>11136</v>
      </c>
      <c r="AY479" s="203"/>
      <c r="AZ479" s="203"/>
      <c r="BA479" s="203">
        <v>0</v>
      </c>
      <c r="BB479" s="191" t="s">
        <v>1502</v>
      </c>
      <c r="BC479" s="191"/>
      <c r="BD479" s="190">
        <v>2</v>
      </c>
      <c r="BE479" s="40"/>
      <c r="BF479" s="187"/>
      <c r="BG479" s="183"/>
      <c r="BH479" s="183"/>
    </row>
    <row r="480" spans="1:60" ht="30" hidden="1" customHeight="1">
      <c r="A480" s="168" t="s">
        <v>239</v>
      </c>
      <c r="B480" s="119" t="s">
        <v>2169</v>
      </c>
      <c r="C480" s="119" t="s">
        <v>175</v>
      </c>
      <c r="D480" s="119"/>
      <c r="E480" s="118" t="s">
        <v>107</v>
      </c>
      <c r="F480" s="118" t="s">
        <v>108</v>
      </c>
      <c r="G480" s="119" t="s">
        <v>178</v>
      </c>
      <c r="H480" s="119"/>
      <c r="I480" s="118"/>
      <c r="J480" s="41" t="s">
        <v>178</v>
      </c>
      <c r="K480" s="41">
        <v>1</v>
      </c>
      <c r="L480" s="41" t="s">
        <v>178</v>
      </c>
      <c r="M480" s="41">
        <v>1</v>
      </c>
      <c r="N480" s="39"/>
      <c r="O480" s="39"/>
      <c r="P480" s="5" t="s">
        <v>179</v>
      </c>
      <c r="Q480" s="41"/>
      <c r="R480" s="5" t="s">
        <v>112</v>
      </c>
      <c r="S480" s="41">
        <v>5</v>
      </c>
      <c r="T480" s="41" t="s">
        <v>139</v>
      </c>
      <c r="U480" s="41"/>
      <c r="V480" s="41"/>
      <c r="W480" s="174"/>
      <c r="X480" s="174"/>
      <c r="Y480" s="41"/>
      <c r="Z480" s="42" t="s">
        <v>141</v>
      </c>
      <c r="AA480" s="37" t="s">
        <v>802</v>
      </c>
      <c r="AB480" s="42" t="s">
        <v>118</v>
      </c>
      <c r="AC480" s="42" t="s">
        <v>119</v>
      </c>
      <c r="AD480" s="51"/>
      <c r="AE480" s="51"/>
      <c r="AF480" s="38">
        <f t="shared" si="16"/>
        <v>52</v>
      </c>
      <c r="AG480" s="7">
        <v>80</v>
      </c>
      <c r="AH480" s="7"/>
      <c r="AI480" s="7">
        <v>0</v>
      </c>
      <c r="AJ480" s="7"/>
      <c r="AK480" s="7">
        <v>60</v>
      </c>
      <c r="AL480" s="7"/>
      <c r="AM480" s="7">
        <v>80</v>
      </c>
      <c r="AN480" s="7"/>
      <c r="AO480" s="63">
        <v>5.8</v>
      </c>
      <c r="AP480" s="58">
        <v>1600</v>
      </c>
      <c r="AQ480" s="58">
        <v>370</v>
      </c>
      <c r="AR480" s="58">
        <v>370</v>
      </c>
      <c r="AS480" s="30">
        <v>17168</v>
      </c>
      <c r="AT480" s="30">
        <v>9280</v>
      </c>
      <c r="AU480" s="30">
        <v>26448</v>
      </c>
      <c r="AV480" s="197">
        <v>17168</v>
      </c>
      <c r="AW480" s="197">
        <v>9280</v>
      </c>
      <c r="AX480" s="197">
        <v>26448</v>
      </c>
      <c r="AY480" s="203"/>
      <c r="AZ480" s="203"/>
      <c r="BA480" s="203">
        <v>0</v>
      </c>
      <c r="BB480" s="191" t="s">
        <v>486</v>
      </c>
      <c r="BC480" s="191"/>
      <c r="BD480" s="190">
        <v>3</v>
      </c>
      <c r="BE480" s="40"/>
      <c r="BF480" s="187"/>
      <c r="BG480" s="183"/>
      <c r="BH480" s="183"/>
    </row>
    <row r="481" spans="1:60" ht="30" hidden="1" customHeight="1">
      <c r="A481" s="168" t="s">
        <v>476</v>
      </c>
      <c r="B481" s="119" t="s">
        <v>2170</v>
      </c>
      <c r="C481" s="119" t="s">
        <v>105</v>
      </c>
      <c r="D481" s="119"/>
      <c r="E481" s="118" t="s">
        <v>107</v>
      </c>
      <c r="F481" s="118" t="s">
        <v>108</v>
      </c>
      <c r="G481" s="119" t="s">
        <v>1793</v>
      </c>
      <c r="H481" s="119"/>
      <c r="I481" s="118"/>
      <c r="J481" s="41" t="s">
        <v>178</v>
      </c>
      <c r="K481" s="41">
        <v>1</v>
      </c>
      <c r="L481" s="41" t="s">
        <v>178</v>
      </c>
      <c r="M481" s="41">
        <v>1</v>
      </c>
      <c r="N481" s="39"/>
      <c r="O481" s="39"/>
      <c r="P481" s="5" t="s">
        <v>179</v>
      </c>
      <c r="Q481" s="41"/>
      <c r="R481" s="5" t="s">
        <v>112</v>
      </c>
      <c r="S481" s="41">
        <v>4</v>
      </c>
      <c r="T481" s="41" t="s">
        <v>139</v>
      </c>
      <c r="U481" s="41" t="s">
        <v>2171</v>
      </c>
      <c r="V481" s="41"/>
      <c r="W481" s="174"/>
      <c r="X481" s="174"/>
      <c r="Y481" s="41"/>
      <c r="Z481" s="42" t="s">
        <v>141</v>
      </c>
      <c r="AA481" s="37" t="s">
        <v>2172</v>
      </c>
      <c r="AB481" s="42" t="s">
        <v>118</v>
      </c>
      <c r="AC481" s="42" t="s">
        <v>119</v>
      </c>
      <c r="AD481" s="51"/>
      <c r="AE481" s="51"/>
      <c r="AF481" s="38">
        <f t="shared" si="16"/>
        <v>52</v>
      </c>
      <c r="AG481" s="7">
        <v>60</v>
      </c>
      <c r="AH481" s="7"/>
      <c r="AI481" s="7">
        <v>40</v>
      </c>
      <c r="AJ481" s="7" t="s">
        <v>2173</v>
      </c>
      <c r="AK481" s="7">
        <v>40</v>
      </c>
      <c r="AL481" s="7" t="s">
        <v>2174</v>
      </c>
      <c r="AM481" s="7">
        <v>80</v>
      </c>
      <c r="AN481" s="7"/>
      <c r="AO481" s="63">
        <v>5.8</v>
      </c>
      <c r="AP481" s="58">
        <v>1600</v>
      </c>
      <c r="AQ481" s="58">
        <v>370</v>
      </c>
      <c r="AR481" s="58">
        <v>370</v>
      </c>
      <c r="AS481" s="30">
        <v>15022</v>
      </c>
      <c r="AT481" s="30">
        <v>9280</v>
      </c>
      <c r="AU481" s="30">
        <v>24302</v>
      </c>
      <c r="AV481" s="197">
        <v>15022</v>
      </c>
      <c r="AW481" s="197">
        <v>9280</v>
      </c>
      <c r="AX481" s="197">
        <v>24302</v>
      </c>
      <c r="AY481" s="203"/>
      <c r="AZ481" s="203"/>
      <c r="BA481" s="203">
        <v>0</v>
      </c>
      <c r="BB481" s="191" t="s">
        <v>2175</v>
      </c>
      <c r="BC481" s="191"/>
      <c r="BD481" s="190">
        <v>3</v>
      </c>
      <c r="BE481" s="40"/>
      <c r="BF481" s="187"/>
      <c r="BG481" s="183"/>
      <c r="BH481" s="183"/>
    </row>
    <row r="482" spans="1:60" ht="30" hidden="1" customHeight="1">
      <c r="A482" s="168" t="s">
        <v>476</v>
      </c>
      <c r="B482" s="119" t="s">
        <v>2176</v>
      </c>
      <c r="C482" s="119" t="s">
        <v>1467</v>
      </c>
      <c r="D482" s="119"/>
      <c r="E482" s="118" t="s">
        <v>107</v>
      </c>
      <c r="F482" s="118" t="s">
        <v>108</v>
      </c>
      <c r="G482" s="119"/>
      <c r="H482" s="119"/>
      <c r="I482" s="118"/>
      <c r="J482" s="41" t="s">
        <v>178</v>
      </c>
      <c r="K482" s="41">
        <v>1</v>
      </c>
      <c r="L482" s="41" t="s">
        <v>178</v>
      </c>
      <c r="M482" s="41">
        <v>1</v>
      </c>
      <c r="N482" s="39"/>
      <c r="O482" s="39"/>
      <c r="P482" s="5" t="s">
        <v>179</v>
      </c>
      <c r="Q482" s="41"/>
      <c r="R482" s="5" t="s">
        <v>112</v>
      </c>
      <c r="S482" s="41">
        <v>4</v>
      </c>
      <c r="T482" s="41" t="s">
        <v>801</v>
      </c>
      <c r="U482" s="41"/>
      <c r="V482" s="41"/>
      <c r="W482" s="174"/>
      <c r="X482" s="174"/>
      <c r="Y482" s="41"/>
      <c r="Z482" s="42" t="s">
        <v>141</v>
      </c>
      <c r="AA482" s="42" t="s">
        <v>2172</v>
      </c>
      <c r="AB482" s="42" t="s">
        <v>118</v>
      </c>
      <c r="AC482" s="42" t="s">
        <v>119</v>
      </c>
      <c r="AD482" s="42"/>
      <c r="AE482" s="42"/>
      <c r="AF482" s="38">
        <f t="shared" si="16"/>
        <v>52</v>
      </c>
      <c r="AG482" s="7">
        <v>60</v>
      </c>
      <c r="AH482" s="7"/>
      <c r="AI482" s="7">
        <v>40</v>
      </c>
      <c r="AJ482" s="7" t="s">
        <v>2173</v>
      </c>
      <c r="AK482" s="7">
        <v>40</v>
      </c>
      <c r="AL482" s="7" t="s">
        <v>2174</v>
      </c>
      <c r="AM482" s="7">
        <v>80</v>
      </c>
      <c r="AN482" s="7"/>
      <c r="AO482" s="63">
        <v>5.8</v>
      </c>
      <c r="AP482" s="58">
        <v>1600</v>
      </c>
      <c r="AQ482" s="58">
        <v>420</v>
      </c>
      <c r="AR482" s="58">
        <v>420</v>
      </c>
      <c r="AS482" s="30">
        <v>17052</v>
      </c>
      <c r="AT482" s="30">
        <v>9280</v>
      </c>
      <c r="AU482" s="30">
        <v>26332</v>
      </c>
      <c r="AV482" s="197">
        <v>17052</v>
      </c>
      <c r="AW482" s="197">
        <v>9280</v>
      </c>
      <c r="AX482" s="197">
        <v>26332</v>
      </c>
      <c r="AY482" s="203"/>
      <c r="AZ482" s="203"/>
      <c r="BA482" s="203">
        <v>0</v>
      </c>
      <c r="BB482" s="191" t="s">
        <v>2175</v>
      </c>
      <c r="BC482" s="191"/>
      <c r="BD482" s="190">
        <v>3</v>
      </c>
      <c r="BE482" s="40" t="s">
        <v>803</v>
      </c>
      <c r="BF482" s="187"/>
      <c r="BG482" s="183"/>
      <c r="BH482" s="183"/>
    </row>
    <row r="483" spans="1:60" ht="30" hidden="1" customHeight="1">
      <c r="A483" s="168" t="s">
        <v>2177</v>
      </c>
      <c r="B483" s="119" t="s">
        <v>2178</v>
      </c>
      <c r="C483" s="119" t="s">
        <v>2179</v>
      </c>
      <c r="D483" s="119"/>
      <c r="E483" s="118" t="s">
        <v>1505</v>
      </c>
      <c r="F483" s="118" t="s">
        <v>340</v>
      </c>
      <c r="G483" s="119"/>
      <c r="H483" s="119"/>
      <c r="I483" s="118"/>
      <c r="J483" s="41" t="s">
        <v>178</v>
      </c>
      <c r="K483" s="41">
        <v>2</v>
      </c>
      <c r="L483" s="41" t="s">
        <v>178</v>
      </c>
      <c r="M483" s="41">
        <v>2</v>
      </c>
      <c r="N483" s="39"/>
      <c r="O483" s="39"/>
      <c r="P483" s="5" t="s">
        <v>179</v>
      </c>
      <c r="Q483" s="41"/>
      <c r="R483" s="5" t="s">
        <v>112</v>
      </c>
      <c r="S483" s="41">
        <v>3</v>
      </c>
      <c r="T483" s="41" t="s">
        <v>139</v>
      </c>
      <c r="U483" s="41"/>
      <c r="V483" s="41"/>
      <c r="W483" s="174"/>
      <c r="X483" s="174"/>
      <c r="Y483" s="41"/>
      <c r="Z483" s="42" t="s">
        <v>524</v>
      </c>
      <c r="AA483" s="42" t="s">
        <v>2180</v>
      </c>
      <c r="AB483" s="42" t="s">
        <v>345</v>
      </c>
      <c r="AC483" s="42"/>
      <c r="AD483" s="42"/>
      <c r="AE483" s="42"/>
      <c r="AF483" s="38">
        <f>PAI2025Planejamento[[#This Row],[1) IMPACTO NO MERCADO]]*$AG$2+PAI2025Planejamento[[#This Row],[2) RELEVÂNCIA TEMÁTICA]]*$AI$2+PAI2025Planejamento[[#This Row],[3) TIPO DE ATUAÇÃO]]*$AK$2+PAI2025Planejamento[[#This Row],[4) TIPO DE FÓRUM]]*$AM$2</f>
        <v>52</v>
      </c>
      <c r="AG483" s="7">
        <v>60</v>
      </c>
      <c r="AH483" s="7"/>
      <c r="AI483" s="7">
        <v>80</v>
      </c>
      <c r="AJ483" s="7"/>
      <c r="AK483" s="7">
        <v>0</v>
      </c>
      <c r="AL483" s="7"/>
      <c r="AM483" s="7">
        <v>40</v>
      </c>
      <c r="AN483" s="7"/>
      <c r="AO483" s="63">
        <v>5.8</v>
      </c>
      <c r="AP483" s="58">
        <v>1600</v>
      </c>
      <c r="AQ483" s="58">
        <v>420</v>
      </c>
      <c r="AR483" s="58">
        <v>420</v>
      </c>
      <c r="AS483" s="30">
        <v>29232</v>
      </c>
      <c r="AT483" s="30">
        <v>18560</v>
      </c>
      <c r="AU483" s="30">
        <v>47792</v>
      </c>
      <c r="AV483" s="197">
        <v>29232</v>
      </c>
      <c r="AW483" s="197">
        <v>18560</v>
      </c>
      <c r="AX483" s="197">
        <v>47792</v>
      </c>
      <c r="AY483" s="203"/>
      <c r="AZ483" s="203"/>
      <c r="BA483" s="203">
        <v>0</v>
      </c>
      <c r="BB483" s="191"/>
      <c r="BC483" s="191"/>
      <c r="BD483" s="190">
        <v>3</v>
      </c>
      <c r="BE483" s="40"/>
      <c r="BF483" s="187"/>
      <c r="BG483" s="183"/>
      <c r="BH483" s="183"/>
    </row>
    <row r="484" spans="1:60" ht="30" hidden="1" customHeight="1">
      <c r="A484" s="168" t="s">
        <v>2181</v>
      </c>
      <c r="B484" s="119" t="s">
        <v>2182</v>
      </c>
      <c r="C484" s="119">
        <v>2025</v>
      </c>
      <c r="D484" s="119"/>
      <c r="E484" s="118" t="s">
        <v>1505</v>
      </c>
      <c r="F484" s="117" t="s">
        <v>340</v>
      </c>
      <c r="G484" s="119"/>
      <c r="H484" s="119" t="s">
        <v>2183</v>
      </c>
      <c r="I484" s="118"/>
      <c r="J484" s="41" t="s">
        <v>178</v>
      </c>
      <c r="K484" s="41">
        <v>0</v>
      </c>
      <c r="L484" s="41" t="s">
        <v>178</v>
      </c>
      <c r="M484" s="41">
        <v>0</v>
      </c>
      <c r="N484" s="39"/>
      <c r="O484" s="39"/>
      <c r="P484" s="5" t="s">
        <v>179</v>
      </c>
      <c r="Q484" s="41"/>
      <c r="R484" s="5" t="s">
        <v>112</v>
      </c>
      <c r="S484" s="41">
        <v>3</v>
      </c>
      <c r="T484" s="41" t="s">
        <v>253</v>
      </c>
      <c r="U484" s="41"/>
      <c r="V484" s="41" t="s">
        <v>253</v>
      </c>
      <c r="W484" s="174"/>
      <c r="X484" s="174"/>
      <c r="Y484" s="41"/>
      <c r="Z484" s="42" t="s">
        <v>2184</v>
      </c>
      <c r="AA484" s="42" t="s">
        <v>2185</v>
      </c>
      <c r="AB484" s="42" t="s">
        <v>345</v>
      </c>
      <c r="AC484" s="42"/>
      <c r="AD484" s="42"/>
      <c r="AE484" s="42"/>
      <c r="AF484" s="38">
        <f>PAI2025Planejamento[[#This Row],[1) IMPACTO NO MERCADO]]*$AG$2+PAI2025Planejamento[[#This Row],[2) RELEVÂNCIA TEMÁTICA]]*$AI$2+PAI2025Planejamento[[#This Row],[3) TIPO DE ATUAÇÃO]]*$AK$2+PAI2025Planejamento[[#This Row],[4) TIPO DE FÓRUM]]*$AM$2</f>
        <v>52</v>
      </c>
      <c r="AG484" s="7">
        <v>60</v>
      </c>
      <c r="AH484" s="7"/>
      <c r="AI484" s="7">
        <v>80</v>
      </c>
      <c r="AJ484" s="7"/>
      <c r="AK484" s="7">
        <v>0</v>
      </c>
      <c r="AL484" s="7"/>
      <c r="AM484" s="7">
        <v>40</v>
      </c>
      <c r="AN484" s="7"/>
      <c r="AO484" s="63">
        <v>5.8</v>
      </c>
      <c r="AP484" s="58"/>
      <c r="AQ484" s="58"/>
      <c r="AR484" s="58"/>
      <c r="AS484" s="30">
        <v>0</v>
      </c>
      <c r="AT484" s="30">
        <v>0</v>
      </c>
      <c r="AU484" s="30">
        <v>0</v>
      </c>
      <c r="AV484" s="197">
        <v>0</v>
      </c>
      <c r="AW484" s="197">
        <v>0</v>
      </c>
      <c r="AX484" s="197">
        <v>0</v>
      </c>
      <c r="AY484" s="203"/>
      <c r="AZ484" s="203"/>
      <c r="BA484" s="203">
        <v>0</v>
      </c>
      <c r="BB484" s="191"/>
      <c r="BC484" s="191"/>
      <c r="BD484" s="190">
        <v>1</v>
      </c>
      <c r="BE484" s="40"/>
      <c r="BF484" s="187"/>
      <c r="BG484" s="183"/>
      <c r="BH484" s="183"/>
    </row>
    <row r="485" spans="1:60" ht="30" hidden="1" customHeight="1">
      <c r="A485" s="168" t="s">
        <v>122</v>
      </c>
      <c r="B485" s="119" t="s">
        <v>2186</v>
      </c>
      <c r="C485" s="119" t="s">
        <v>2187</v>
      </c>
      <c r="D485" s="119"/>
      <c r="E485" s="118" t="s">
        <v>165</v>
      </c>
      <c r="F485" s="117" t="s">
        <v>166</v>
      </c>
      <c r="G485" s="119" t="s">
        <v>2188</v>
      </c>
      <c r="H485" s="119"/>
      <c r="I485" s="118"/>
      <c r="J485" s="41" t="s">
        <v>178</v>
      </c>
      <c r="K485" s="41">
        <v>1</v>
      </c>
      <c r="L485" s="41" t="s">
        <v>178</v>
      </c>
      <c r="M485" s="41">
        <v>1</v>
      </c>
      <c r="N485" s="39"/>
      <c r="O485" s="39"/>
      <c r="P485" s="5" t="s">
        <v>179</v>
      </c>
      <c r="Q485" s="41"/>
      <c r="R485" s="5" t="s">
        <v>112</v>
      </c>
      <c r="S485" s="41">
        <v>3</v>
      </c>
      <c r="T485" s="41" t="s">
        <v>2189</v>
      </c>
      <c r="U485" s="41"/>
      <c r="V485" s="41"/>
      <c r="W485" s="174"/>
      <c r="X485" s="174"/>
      <c r="Y485" s="41"/>
      <c r="Z485" s="42" t="s">
        <v>817</v>
      </c>
      <c r="AA485" s="42" t="s">
        <v>2190</v>
      </c>
      <c r="AB485" s="42" t="s">
        <v>517</v>
      </c>
      <c r="AC485" s="42" t="s">
        <v>2191</v>
      </c>
      <c r="AD485" s="42"/>
      <c r="AE485" s="42"/>
      <c r="AF485" s="38">
        <f>AG485*$AG$2+AI485*$AI$2+AK485*$AK$2+AM485*$AM$2</f>
        <v>52</v>
      </c>
      <c r="AG485" s="7">
        <v>60</v>
      </c>
      <c r="AH485" s="7"/>
      <c r="AI485" s="7">
        <v>40</v>
      </c>
      <c r="AJ485" s="7"/>
      <c r="AK485" s="7">
        <v>40</v>
      </c>
      <c r="AL485" s="7"/>
      <c r="AM485" s="7">
        <v>80</v>
      </c>
      <c r="AN485" s="7"/>
      <c r="AO485" s="63">
        <v>5.8</v>
      </c>
      <c r="AP485" s="58">
        <v>1600</v>
      </c>
      <c r="AQ485" s="58">
        <v>420</v>
      </c>
      <c r="AR485" s="58">
        <v>420</v>
      </c>
      <c r="AS485" s="30">
        <v>14616</v>
      </c>
      <c r="AT485" s="30">
        <v>9280</v>
      </c>
      <c r="AU485" s="30">
        <v>23896</v>
      </c>
      <c r="AV485" s="197">
        <v>14616</v>
      </c>
      <c r="AW485" s="197">
        <v>9280</v>
      </c>
      <c r="AX485" s="197">
        <v>23896</v>
      </c>
      <c r="AY485" s="203"/>
      <c r="AZ485" s="203"/>
      <c r="BA485" s="203">
        <v>0</v>
      </c>
      <c r="BB485" s="191"/>
      <c r="BC485" s="191"/>
      <c r="BD485" s="189">
        <v>3</v>
      </c>
      <c r="BE485" s="40"/>
      <c r="BF485" s="187"/>
      <c r="BG485" s="183"/>
      <c r="BH485" s="183"/>
    </row>
    <row r="486" spans="1:60" ht="30" hidden="1" customHeight="1">
      <c r="A486" s="168" t="s">
        <v>1113</v>
      </c>
      <c r="B486" s="119" t="s">
        <v>2192</v>
      </c>
      <c r="C486" s="119" t="s">
        <v>2184</v>
      </c>
      <c r="D486" s="119"/>
      <c r="E486" s="118" t="s">
        <v>402</v>
      </c>
      <c r="F486" s="117" t="s">
        <v>396</v>
      </c>
      <c r="G486" s="119" t="s">
        <v>2193</v>
      </c>
      <c r="H486" s="119" t="s">
        <v>591</v>
      </c>
      <c r="I486" s="118"/>
      <c r="J486" s="41" t="s">
        <v>178</v>
      </c>
      <c r="K486" s="41">
        <v>1</v>
      </c>
      <c r="L486" s="41" t="s">
        <v>178</v>
      </c>
      <c r="M486" s="41">
        <v>1</v>
      </c>
      <c r="N486" s="39"/>
      <c r="O486" s="39"/>
      <c r="P486" s="5" t="s">
        <v>179</v>
      </c>
      <c r="Q486" s="41"/>
      <c r="R486" s="5" t="s">
        <v>112</v>
      </c>
      <c r="S486" s="41">
        <v>3</v>
      </c>
      <c r="T486" s="41" t="s">
        <v>514</v>
      </c>
      <c r="U486" s="41"/>
      <c r="V486" s="41"/>
      <c r="W486" s="174"/>
      <c r="X486" s="174"/>
      <c r="Y486" s="41"/>
      <c r="Z486" s="42" t="s">
        <v>267</v>
      </c>
      <c r="AA486" s="42" t="s">
        <v>2194</v>
      </c>
      <c r="AB486" s="42" t="s">
        <v>345</v>
      </c>
      <c r="AC486" s="42"/>
      <c r="AD486" s="42"/>
      <c r="AE486" s="42"/>
      <c r="AF486" s="38">
        <f>AG486*$AG$2+AI486*$AI$2+AK486*$AK$2+AM486*$AM$2</f>
        <v>52</v>
      </c>
      <c r="AG486" s="7">
        <v>60</v>
      </c>
      <c r="AH486" s="7"/>
      <c r="AI486" s="7">
        <v>40</v>
      </c>
      <c r="AJ486" s="7"/>
      <c r="AK486" s="7">
        <v>40</v>
      </c>
      <c r="AL486" s="7"/>
      <c r="AM486" s="7">
        <v>80</v>
      </c>
      <c r="AN486" s="7"/>
      <c r="AO486" s="63">
        <v>5.8</v>
      </c>
      <c r="AP486" s="58">
        <v>1600</v>
      </c>
      <c r="AQ486" s="58">
        <v>420</v>
      </c>
      <c r="AR486" s="58">
        <v>420</v>
      </c>
      <c r="AS486" s="30">
        <v>14616</v>
      </c>
      <c r="AT486" s="30">
        <v>9280</v>
      </c>
      <c r="AU486" s="30">
        <v>23896</v>
      </c>
      <c r="AV486" s="197">
        <v>14616</v>
      </c>
      <c r="AW486" s="197">
        <v>9280</v>
      </c>
      <c r="AX486" s="197">
        <v>23896</v>
      </c>
      <c r="AY486" s="203"/>
      <c r="AZ486" s="203"/>
      <c r="BA486" s="203">
        <v>0</v>
      </c>
      <c r="BB486" s="191" t="s">
        <v>2108</v>
      </c>
      <c r="BC486" s="191"/>
      <c r="BD486" s="190">
        <v>3</v>
      </c>
      <c r="BE486" s="40"/>
      <c r="BF486" s="187"/>
      <c r="BG486" s="183"/>
      <c r="BH486" s="183"/>
    </row>
    <row r="487" spans="1:60" ht="30" hidden="1" customHeight="1">
      <c r="A487" s="168" t="s">
        <v>1601</v>
      </c>
      <c r="B487" s="119" t="s">
        <v>2195</v>
      </c>
      <c r="C487" s="119" t="s">
        <v>2196</v>
      </c>
      <c r="D487" s="119"/>
      <c r="E487" s="118" t="s">
        <v>1505</v>
      </c>
      <c r="F487" s="117" t="s">
        <v>340</v>
      </c>
      <c r="G487" s="119"/>
      <c r="H487" s="119"/>
      <c r="I487" s="118"/>
      <c r="J487" s="41" t="s">
        <v>178</v>
      </c>
      <c r="K487" s="41">
        <v>2</v>
      </c>
      <c r="L487" s="41" t="s">
        <v>178</v>
      </c>
      <c r="M487" s="41">
        <v>2</v>
      </c>
      <c r="N487" s="39"/>
      <c r="O487" s="39"/>
      <c r="P487" s="5" t="s">
        <v>179</v>
      </c>
      <c r="Q487" s="41"/>
      <c r="R487" s="5" t="s">
        <v>112</v>
      </c>
      <c r="S487" s="41">
        <v>3</v>
      </c>
      <c r="T487" s="41" t="s">
        <v>139</v>
      </c>
      <c r="U487" s="41"/>
      <c r="V487" s="41"/>
      <c r="W487" s="174"/>
      <c r="X487" s="174"/>
      <c r="Y487" s="41"/>
      <c r="Z487" s="42" t="s">
        <v>524</v>
      </c>
      <c r="AA487" s="42" t="s">
        <v>2197</v>
      </c>
      <c r="AB487" s="42" t="s">
        <v>345</v>
      </c>
      <c r="AC487" s="42"/>
      <c r="AD487" s="42"/>
      <c r="AE487" s="42"/>
      <c r="AF487" s="38">
        <f>PAI2025Planejamento[[#This Row],[1) IMPACTO NO MERCADO]]*$AG$2+PAI2025Planejamento[[#This Row],[2) RELEVÂNCIA TEMÁTICA]]*$AI$2+PAI2025Planejamento[[#This Row],[3) TIPO DE ATUAÇÃO]]*$AK$2+PAI2025Planejamento[[#This Row],[4) TIPO DE FÓRUM]]*$AM$2</f>
        <v>52</v>
      </c>
      <c r="AG487" s="7">
        <v>60</v>
      </c>
      <c r="AH487" s="7"/>
      <c r="AI487" s="7">
        <v>80</v>
      </c>
      <c r="AJ487" s="7"/>
      <c r="AK487" s="7">
        <v>0</v>
      </c>
      <c r="AL487" s="7"/>
      <c r="AM487" s="7">
        <v>40</v>
      </c>
      <c r="AN487" s="7"/>
      <c r="AO487" s="63">
        <v>5.8</v>
      </c>
      <c r="AP487" s="58">
        <v>1600</v>
      </c>
      <c r="AQ487" s="58">
        <v>420</v>
      </c>
      <c r="AR487" s="58">
        <v>420</v>
      </c>
      <c r="AS487" s="30">
        <v>29232</v>
      </c>
      <c r="AT487" s="30">
        <v>18560</v>
      </c>
      <c r="AU487" s="30">
        <v>47792</v>
      </c>
      <c r="AV487" s="197">
        <v>29232</v>
      </c>
      <c r="AW487" s="197">
        <v>18560</v>
      </c>
      <c r="AX487" s="197">
        <v>47792</v>
      </c>
      <c r="AY487" s="203"/>
      <c r="AZ487" s="203"/>
      <c r="BA487" s="203">
        <v>0</v>
      </c>
      <c r="BB487" s="191"/>
      <c r="BC487" s="191"/>
      <c r="BD487" s="190">
        <v>3</v>
      </c>
      <c r="BE487" s="40"/>
      <c r="BF487" s="187"/>
      <c r="BG487" s="183"/>
      <c r="BH487" s="183"/>
    </row>
    <row r="488" spans="1:60" ht="30" hidden="1" customHeight="1">
      <c r="A488" s="168" t="s">
        <v>2198</v>
      </c>
      <c r="B488" s="119" t="s">
        <v>2199</v>
      </c>
      <c r="C488" s="119" t="s">
        <v>2200</v>
      </c>
      <c r="D488" s="119"/>
      <c r="E488" s="118" t="s">
        <v>1505</v>
      </c>
      <c r="F488" s="117" t="s">
        <v>152</v>
      </c>
      <c r="G488" s="119" t="s">
        <v>2201</v>
      </c>
      <c r="H488" s="119"/>
      <c r="I488" s="118"/>
      <c r="J488" s="41" t="s">
        <v>178</v>
      </c>
      <c r="K488" s="41">
        <v>2</v>
      </c>
      <c r="L488" s="41" t="s">
        <v>178</v>
      </c>
      <c r="M488" s="41">
        <v>2</v>
      </c>
      <c r="N488" s="39"/>
      <c r="O488" s="39"/>
      <c r="P488" s="5" t="s">
        <v>179</v>
      </c>
      <c r="Q488" s="41"/>
      <c r="R488" s="5" t="s">
        <v>112</v>
      </c>
      <c r="S488" s="41">
        <v>5</v>
      </c>
      <c r="T488" s="41" t="s">
        <v>514</v>
      </c>
      <c r="U488" s="41"/>
      <c r="V488" s="41"/>
      <c r="W488" s="174"/>
      <c r="X488" s="174"/>
      <c r="Y488" s="41"/>
      <c r="Z488" s="42" t="s">
        <v>524</v>
      </c>
      <c r="AA488" s="42" t="s">
        <v>2202</v>
      </c>
      <c r="AB488" s="42" t="s">
        <v>345</v>
      </c>
      <c r="AC488" s="42"/>
      <c r="AD488" s="42"/>
      <c r="AE488" s="42"/>
      <c r="AF488" s="38">
        <f>PAI2025Planejamento[[#This Row],[1) IMPACTO NO MERCADO]]*$AG$2+PAI2025Planejamento[[#This Row],[2) RELEVÂNCIA TEMÁTICA]]*$AI$2+PAI2025Planejamento[[#This Row],[3) TIPO DE ATUAÇÃO]]*$AK$2+PAI2025Planejamento[[#This Row],[4) TIPO DE FÓRUM]]*$AM$2</f>
        <v>52</v>
      </c>
      <c r="AG488" s="7">
        <v>60</v>
      </c>
      <c r="AH488" s="7"/>
      <c r="AI488" s="7">
        <v>80</v>
      </c>
      <c r="AJ488" s="7"/>
      <c r="AK488" s="7">
        <v>0</v>
      </c>
      <c r="AL488" s="7"/>
      <c r="AM488" s="7">
        <v>40</v>
      </c>
      <c r="AN488" s="7"/>
      <c r="AO488" s="63">
        <v>5.8</v>
      </c>
      <c r="AP488" s="58">
        <v>1600</v>
      </c>
      <c r="AQ488" s="58">
        <v>420</v>
      </c>
      <c r="AR488" s="58">
        <v>420</v>
      </c>
      <c r="AS488" s="30">
        <v>38976</v>
      </c>
      <c r="AT488" s="30">
        <v>18560</v>
      </c>
      <c r="AU488" s="30">
        <v>57536</v>
      </c>
      <c r="AV488" s="197">
        <v>38976</v>
      </c>
      <c r="AW488" s="197">
        <v>18560</v>
      </c>
      <c r="AX488" s="197">
        <v>57536</v>
      </c>
      <c r="AY488" s="203"/>
      <c r="AZ488" s="203"/>
      <c r="BA488" s="203">
        <v>0</v>
      </c>
      <c r="BB488" s="191"/>
      <c r="BC488" s="191"/>
      <c r="BD488" s="190">
        <v>3</v>
      </c>
      <c r="BE488" s="40"/>
      <c r="BF488" s="187"/>
      <c r="BG488" s="183"/>
      <c r="BH488" s="183"/>
    </row>
    <row r="489" spans="1:60" ht="30" hidden="1" customHeight="1">
      <c r="A489" s="168" t="s">
        <v>122</v>
      </c>
      <c r="B489" s="119" t="s">
        <v>2203</v>
      </c>
      <c r="C489" s="119" t="s">
        <v>2204</v>
      </c>
      <c r="D489" s="119"/>
      <c r="E489" s="118" t="s">
        <v>126</v>
      </c>
      <c r="F489" s="117" t="s">
        <v>321</v>
      </c>
      <c r="G489" s="119" t="s">
        <v>2205</v>
      </c>
      <c r="H489" s="119"/>
      <c r="I489" s="118"/>
      <c r="J489" s="41" t="s">
        <v>178</v>
      </c>
      <c r="K489" s="41">
        <v>1</v>
      </c>
      <c r="L489" s="41" t="s">
        <v>178</v>
      </c>
      <c r="M489" s="41">
        <v>1</v>
      </c>
      <c r="N489" s="39"/>
      <c r="O489" s="39"/>
      <c r="P489" s="5" t="s">
        <v>179</v>
      </c>
      <c r="Q489" s="41"/>
      <c r="R489" s="5" t="s">
        <v>112</v>
      </c>
      <c r="S489" s="41">
        <v>3</v>
      </c>
      <c r="T489" s="41" t="s">
        <v>218</v>
      </c>
      <c r="U489" s="41"/>
      <c r="V489" s="41"/>
      <c r="W489" s="174"/>
      <c r="X489" s="174"/>
      <c r="Y489" s="41"/>
      <c r="Z489" s="42" t="s">
        <v>267</v>
      </c>
      <c r="AA489" s="42" t="s">
        <v>2206</v>
      </c>
      <c r="AB489" s="42" t="s">
        <v>345</v>
      </c>
      <c r="AC489" s="42"/>
      <c r="AD489" s="42"/>
      <c r="AE489" s="42"/>
      <c r="AF489" s="38">
        <f t="shared" ref="AF489:AF506" si="17">AG489*$AG$2+AI489*$AI$2+AK489*$AK$2+AM489*$AM$2</f>
        <v>50</v>
      </c>
      <c r="AG489" s="7">
        <v>60</v>
      </c>
      <c r="AH489" s="7"/>
      <c r="AI489" s="7">
        <v>40</v>
      </c>
      <c r="AJ489" s="7" t="s">
        <v>459</v>
      </c>
      <c r="AK489" s="7">
        <v>40</v>
      </c>
      <c r="AL489" s="7"/>
      <c r="AM489" s="7">
        <v>60</v>
      </c>
      <c r="AN489" s="7"/>
      <c r="AO489" s="63">
        <v>5.8</v>
      </c>
      <c r="AP489" s="58">
        <v>1600</v>
      </c>
      <c r="AQ489" s="58">
        <v>330</v>
      </c>
      <c r="AR489" s="58">
        <v>330</v>
      </c>
      <c r="AS489" s="30">
        <v>11484</v>
      </c>
      <c r="AT489" s="30">
        <v>9280</v>
      </c>
      <c r="AU489" s="30">
        <v>20764</v>
      </c>
      <c r="AV489" s="197">
        <v>11484</v>
      </c>
      <c r="AW489" s="197">
        <v>9280</v>
      </c>
      <c r="AX489" s="197">
        <v>20764</v>
      </c>
      <c r="AY489" s="203"/>
      <c r="AZ489" s="203"/>
      <c r="BA489" s="203">
        <v>0</v>
      </c>
      <c r="BB489" s="191" t="s">
        <v>799</v>
      </c>
      <c r="BC489" s="191"/>
      <c r="BD489" s="189">
        <v>3</v>
      </c>
      <c r="BE489" s="40"/>
      <c r="BF489" s="187"/>
      <c r="BG489" s="183"/>
      <c r="BH489" s="183"/>
    </row>
    <row r="490" spans="1:60" ht="30" hidden="1" customHeight="1">
      <c r="A490" s="168" t="s">
        <v>239</v>
      </c>
      <c r="B490" s="119" t="s">
        <v>2207</v>
      </c>
      <c r="C490" s="119">
        <v>2025</v>
      </c>
      <c r="D490" s="119"/>
      <c r="E490" s="118" t="s">
        <v>107</v>
      </c>
      <c r="F490" s="117" t="s">
        <v>108</v>
      </c>
      <c r="G490" s="119"/>
      <c r="H490" s="119"/>
      <c r="I490" s="118"/>
      <c r="J490" s="41" t="s">
        <v>178</v>
      </c>
      <c r="K490" s="41">
        <v>3</v>
      </c>
      <c r="L490" s="41" t="s">
        <v>178</v>
      </c>
      <c r="M490" s="41">
        <v>3</v>
      </c>
      <c r="N490" s="39"/>
      <c r="O490" s="39"/>
      <c r="P490" s="5" t="s">
        <v>179</v>
      </c>
      <c r="Q490" s="41"/>
      <c r="R490" s="5" t="s">
        <v>112</v>
      </c>
      <c r="S490" s="41">
        <v>3</v>
      </c>
      <c r="T490" s="41" t="s">
        <v>801</v>
      </c>
      <c r="U490" s="41"/>
      <c r="V490" s="41"/>
      <c r="W490" s="174"/>
      <c r="X490" s="174"/>
      <c r="Y490" s="41"/>
      <c r="Z490" s="42" t="s">
        <v>141</v>
      </c>
      <c r="AA490" s="42" t="s">
        <v>2208</v>
      </c>
      <c r="AB490" s="42" t="s">
        <v>118</v>
      </c>
      <c r="AC490" s="42" t="s">
        <v>119</v>
      </c>
      <c r="AD490" s="42"/>
      <c r="AE490" s="42"/>
      <c r="AF490" s="38">
        <f t="shared" si="17"/>
        <v>48</v>
      </c>
      <c r="AG490" s="7">
        <v>60</v>
      </c>
      <c r="AH490" s="7"/>
      <c r="AI490" s="7">
        <v>40</v>
      </c>
      <c r="AJ490" s="7"/>
      <c r="AK490" s="7">
        <v>40</v>
      </c>
      <c r="AL490" s="7"/>
      <c r="AM490" s="7">
        <v>40</v>
      </c>
      <c r="AN490" s="7"/>
      <c r="AO490" s="63">
        <v>5.8</v>
      </c>
      <c r="AP490" s="58">
        <v>1600</v>
      </c>
      <c r="AQ490" s="58">
        <v>370</v>
      </c>
      <c r="AR490" s="58">
        <v>370</v>
      </c>
      <c r="AS490" s="30">
        <v>38628</v>
      </c>
      <c r="AT490" s="30">
        <v>27840</v>
      </c>
      <c r="AU490" s="30">
        <v>66468</v>
      </c>
      <c r="AV490" s="197">
        <v>38628</v>
      </c>
      <c r="AW490" s="197">
        <v>27840</v>
      </c>
      <c r="AX490" s="197">
        <v>66468</v>
      </c>
      <c r="AY490" s="203"/>
      <c r="AZ490" s="203"/>
      <c r="BA490" s="203">
        <v>0</v>
      </c>
      <c r="BB490" s="191" t="s">
        <v>190</v>
      </c>
      <c r="BC490" s="191"/>
      <c r="BD490" s="190">
        <v>3</v>
      </c>
      <c r="BE490" s="40" t="s">
        <v>803</v>
      </c>
      <c r="BF490" s="187"/>
      <c r="BG490" s="183"/>
      <c r="BH490" s="183"/>
    </row>
    <row r="491" spans="1:60" ht="30.95" hidden="1" customHeight="1">
      <c r="A491" s="168" t="s">
        <v>290</v>
      </c>
      <c r="B491" s="119" t="s">
        <v>2209</v>
      </c>
      <c r="C491" s="119" t="s">
        <v>2210</v>
      </c>
      <c r="D491" s="119"/>
      <c r="E491" s="118" t="s">
        <v>107</v>
      </c>
      <c r="F491" s="118" t="s">
        <v>293</v>
      </c>
      <c r="G491" s="119" t="s">
        <v>2211</v>
      </c>
      <c r="H491" s="119"/>
      <c r="I491" s="118"/>
      <c r="J491" s="139" t="s">
        <v>178</v>
      </c>
      <c r="K491" s="41">
        <v>0</v>
      </c>
      <c r="L491" s="41" t="s">
        <v>178</v>
      </c>
      <c r="M491" s="41">
        <v>0</v>
      </c>
      <c r="N491" s="39"/>
      <c r="O491" s="39"/>
      <c r="P491" s="5" t="s">
        <v>179</v>
      </c>
      <c r="Q491" s="41"/>
      <c r="R491" s="41" t="s">
        <v>112</v>
      </c>
      <c r="S491" s="41">
        <v>5</v>
      </c>
      <c r="T491" s="41" t="s">
        <v>295</v>
      </c>
      <c r="U491" s="41"/>
      <c r="V491" s="41" t="s">
        <v>115</v>
      </c>
      <c r="W491" s="175"/>
      <c r="X491" s="175"/>
      <c r="Y491" s="41"/>
      <c r="Z491" s="42" t="s">
        <v>306</v>
      </c>
      <c r="AA491" s="37" t="s">
        <v>2212</v>
      </c>
      <c r="AB491" s="42" t="s">
        <v>517</v>
      </c>
      <c r="AC491" s="42" t="s">
        <v>262</v>
      </c>
      <c r="AD491" s="51"/>
      <c r="AE491" s="51"/>
      <c r="AF491" s="38">
        <f t="shared" si="17"/>
        <v>48</v>
      </c>
      <c r="AG491" s="39">
        <v>40</v>
      </c>
      <c r="AH491" s="39"/>
      <c r="AI491" s="39">
        <v>40</v>
      </c>
      <c r="AJ491" s="39"/>
      <c r="AK491" s="39">
        <v>60</v>
      </c>
      <c r="AL491" s="39"/>
      <c r="AM491" s="39">
        <v>80</v>
      </c>
      <c r="AN491" s="39"/>
      <c r="AO491" s="63">
        <v>5.8</v>
      </c>
      <c r="AP491" s="60">
        <v>1600</v>
      </c>
      <c r="AQ491" s="60">
        <v>270</v>
      </c>
      <c r="AR491" s="60">
        <v>270</v>
      </c>
      <c r="AS491" s="40">
        <v>0</v>
      </c>
      <c r="AT491" s="40">
        <v>0</v>
      </c>
      <c r="AU491" s="40">
        <v>0</v>
      </c>
      <c r="AV491" s="197">
        <v>0</v>
      </c>
      <c r="AW491" s="197">
        <v>0</v>
      </c>
      <c r="AX491" s="197">
        <v>0</v>
      </c>
      <c r="AY491" s="203"/>
      <c r="AZ491" s="203"/>
      <c r="BA491" s="203">
        <v>0</v>
      </c>
      <c r="BB491" s="191" t="s">
        <v>1016</v>
      </c>
      <c r="BC491" s="191"/>
      <c r="BD491" s="192">
        <v>2</v>
      </c>
      <c r="BE491" s="40"/>
      <c r="BF491" s="187"/>
      <c r="BG491" s="183"/>
      <c r="BH491" s="183"/>
    </row>
    <row r="492" spans="1:60" ht="30" hidden="1" customHeight="1">
      <c r="A492" s="115" t="s">
        <v>421</v>
      </c>
      <c r="B492" s="116" t="s">
        <v>2213</v>
      </c>
      <c r="C492" s="116" t="s">
        <v>2214</v>
      </c>
      <c r="D492" s="116"/>
      <c r="E492" s="117" t="s">
        <v>107</v>
      </c>
      <c r="F492" s="117" t="s">
        <v>108</v>
      </c>
      <c r="G492" s="116"/>
      <c r="H492" s="116"/>
      <c r="I492" s="117"/>
      <c r="J492" s="5" t="s">
        <v>178</v>
      </c>
      <c r="K492" s="5">
        <v>1</v>
      </c>
      <c r="L492" s="5" t="s">
        <v>178</v>
      </c>
      <c r="M492" s="5">
        <v>1</v>
      </c>
      <c r="N492" s="7"/>
      <c r="O492" s="7"/>
      <c r="P492" s="5" t="s">
        <v>179</v>
      </c>
      <c r="Q492" s="5"/>
      <c r="R492" s="5" t="s">
        <v>112</v>
      </c>
      <c r="S492" s="5">
        <v>3</v>
      </c>
      <c r="T492" s="5" t="s">
        <v>139</v>
      </c>
      <c r="U492" s="5"/>
      <c r="V492" s="5"/>
      <c r="W492" s="175"/>
      <c r="X492" s="175"/>
      <c r="Y492" s="5"/>
      <c r="Z492" s="3" t="s">
        <v>116</v>
      </c>
      <c r="AA492" s="2" t="s">
        <v>2215</v>
      </c>
      <c r="AB492" s="3" t="s">
        <v>118</v>
      </c>
      <c r="AC492" s="3" t="s">
        <v>427</v>
      </c>
      <c r="AD492" s="50"/>
      <c r="AE492" s="50"/>
      <c r="AF492" s="12">
        <f t="shared" si="17"/>
        <v>48</v>
      </c>
      <c r="AG492" s="7">
        <v>80</v>
      </c>
      <c r="AH492" s="7"/>
      <c r="AI492" s="7">
        <v>0</v>
      </c>
      <c r="AJ492" s="7"/>
      <c r="AK492" s="7">
        <v>40</v>
      </c>
      <c r="AL492" s="7" t="s">
        <v>2216</v>
      </c>
      <c r="AM492" s="7">
        <v>80</v>
      </c>
      <c r="AN492" s="7" t="s">
        <v>146</v>
      </c>
      <c r="AO492" s="63">
        <v>5.8</v>
      </c>
      <c r="AP492" s="58">
        <v>1600</v>
      </c>
      <c r="AQ492" s="58">
        <v>370</v>
      </c>
      <c r="AR492" s="58">
        <v>370</v>
      </c>
      <c r="AS492" s="30">
        <v>12876</v>
      </c>
      <c r="AT492" s="30">
        <v>9280</v>
      </c>
      <c r="AU492" s="30">
        <v>22156</v>
      </c>
      <c r="AV492" s="197">
        <v>12876</v>
      </c>
      <c r="AW492" s="197">
        <v>9280</v>
      </c>
      <c r="AX492" s="197">
        <v>22156</v>
      </c>
      <c r="AY492" s="202"/>
      <c r="AZ492" s="202"/>
      <c r="BA492" s="202">
        <v>0</v>
      </c>
      <c r="BB492" s="189" t="s">
        <v>1009</v>
      </c>
      <c r="BC492" s="191"/>
      <c r="BD492" s="192">
        <v>3</v>
      </c>
      <c r="BE492" s="30"/>
      <c r="BF492" s="186"/>
      <c r="BG492" s="183"/>
      <c r="BH492" s="183"/>
    </row>
    <row r="493" spans="1:60" ht="36.6" hidden="1" customHeight="1">
      <c r="A493" s="168" t="s">
        <v>476</v>
      </c>
      <c r="B493" s="119" t="s">
        <v>2217</v>
      </c>
      <c r="C493" s="119" t="s">
        <v>2218</v>
      </c>
      <c r="D493" s="116"/>
      <c r="E493" s="118" t="s">
        <v>216</v>
      </c>
      <c r="F493" s="118" t="s">
        <v>217</v>
      </c>
      <c r="G493" s="119" t="s">
        <v>2082</v>
      </c>
      <c r="H493" s="119"/>
      <c r="I493" s="118"/>
      <c r="J493" s="139" t="s">
        <v>178</v>
      </c>
      <c r="K493" s="41">
        <v>2</v>
      </c>
      <c r="L493" s="41" t="s">
        <v>178</v>
      </c>
      <c r="M493" s="41">
        <v>2</v>
      </c>
      <c r="N493" s="39"/>
      <c r="O493" s="39"/>
      <c r="P493" s="5" t="s">
        <v>179</v>
      </c>
      <c r="Q493" s="41"/>
      <c r="R493" s="41" t="s">
        <v>112</v>
      </c>
      <c r="S493" s="41">
        <v>4</v>
      </c>
      <c r="T493" s="5" t="s">
        <v>801</v>
      </c>
      <c r="U493" s="41"/>
      <c r="V493" s="41"/>
      <c r="W493" s="175"/>
      <c r="X493" s="175"/>
      <c r="Y493" s="41"/>
      <c r="Z493" s="42" t="s">
        <v>313</v>
      </c>
      <c r="AA493" s="3" t="s">
        <v>2219</v>
      </c>
      <c r="AB493" s="42" t="s">
        <v>345</v>
      </c>
      <c r="AC493" s="42"/>
      <c r="AD493" s="42"/>
      <c r="AE493" s="42"/>
      <c r="AF493" s="38">
        <f t="shared" si="17"/>
        <v>44</v>
      </c>
      <c r="AG493" s="39">
        <v>40</v>
      </c>
      <c r="AH493" s="39"/>
      <c r="AI493" s="39">
        <v>40</v>
      </c>
      <c r="AJ493" s="39"/>
      <c r="AK493" s="39">
        <v>40</v>
      </c>
      <c r="AL493" s="39"/>
      <c r="AM493" s="39">
        <v>80</v>
      </c>
      <c r="AN493" s="39"/>
      <c r="AO493" s="140">
        <v>5.8</v>
      </c>
      <c r="AP493" s="60">
        <v>1600</v>
      </c>
      <c r="AQ493" s="60">
        <v>420</v>
      </c>
      <c r="AR493" s="60">
        <v>420</v>
      </c>
      <c r="AS493" s="40">
        <v>34104</v>
      </c>
      <c r="AT493" s="40">
        <v>18560</v>
      </c>
      <c r="AU493" s="40">
        <v>52664</v>
      </c>
      <c r="AV493" s="197">
        <v>34104</v>
      </c>
      <c r="AW493" s="197">
        <v>18560</v>
      </c>
      <c r="AX493" s="197">
        <v>52664</v>
      </c>
      <c r="AY493" s="203"/>
      <c r="AZ493" s="203"/>
      <c r="BA493" s="203">
        <v>0</v>
      </c>
      <c r="BB493" s="191" t="s">
        <v>1082</v>
      </c>
      <c r="BC493" s="191"/>
      <c r="BD493" s="41">
        <v>3</v>
      </c>
      <c r="BE493" s="40" t="s">
        <v>1083</v>
      </c>
      <c r="BF493" s="187"/>
      <c r="BG493" s="183"/>
      <c r="BH493" s="183"/>
    </row>
    <row r="494" spans="1:60" ht="38.25" hidden="1" customHeight="1">
      <c r="A494" s="168" t="s">
        <v>248</v>
      </c>
      <c r="B494" s="119" t="s">
        <v>2220</v>
      </c>
      <c r="C494" s="119" t="s">
        <v>1572</v>
      </c>
      <c r="D494" s="119"/>
      <c r="E494" s="118" t="s">
        <v>264</v>
      </c>
      <c r="F494" s="118" t="s">
        <v>265</v>
      </c>
      <c r="G494" s="119" t="s">
        <v>2221</v>
      </c>
      <c r="H494" s="119"/>
      <c r="I494" s="118"/>
      <c r="J494" s="139" t="s">
        <v>178</v>
      </c>
      <c r="K494" s="41">
        <v>1</v>
      </c>
      <c r="L494" s="41" t="s">
        <v>178</v>
      </c>
      <c r="M494" s="41">
        <v>1</v>
      </c>
      <c r="N494" s="39"/>
      <c r="O494" s="39"/>
      <c r="P494" s="5" t="s">
        <v>179</v>
      </c>
      <c r="Q494" s="41"/>
      <c r="R494" s="41" t="s">
        <v>112</v>
      </c>
      <c r="S494" s="41">
        <v>4</v>
      </c>
      <c r="T494" s="41" t="s">
        <v>924</v>
      </c>
      <c r="U494" s="41"/>
      <c r="V494" s="41" t="s">
        <v>115</v>
      </c>
      <c r="W494" s="175"/>
      <c r="X494" s="175"/>
      <c r="Y494" s="41"/>
      <c r="Z494" s="42" t="s">
        <v>141</v>
      </c>
      <c r="AA494" s="37" t="s">
        <v>2222</v>
      </c>
      <c r="AB494" s="42" t="s">
        <v>118</v>
      </c>
      <c r="AC494" s="42" t="s">
        <v>1575</v>
      </c>
      <c r="AD494" s="51"/>
      <c r="AE494" s="51"/>
      <c r="AF494" s="38">
        <f t="shared" si="17"/>
        <v>44</v>
      </c>
      <c r="AG494" s="7">
        <v>40</v>
      </c>
      <c r="AH494" s="7"/>
      <c r="AI494" s="7">
        <v>40</v>
      </c>
      <c r="AJ494" s="7"/>
      <c r="AK494" s="7">
        <v>40</v>
      </c>
      <c r="AL494" s="7"/>
      <c r="AM494" s="7">
        <v>80</v>
      </c>
      <c r="AN494" s="39"/>
      <c r="AO494" s="140">
        <v>5.8</v>
      </c>
      <c r="AP494" s="60">
        <v>800</v>
      </c>
      <c r="AQ494" s="60">
        <v>280</v>
      </c>
      <c r="AR494" s="60">
        <v>280</v>
      </c>
      <c r="AS494" s="40">
        <v>9744</v>
      </c>
      <c r="AT494" s="40">
        <v>4640</v>
      </c>
      <c r="AU494" s="40">
        <v>14384</v>
      </c>
      <c r="AV494" s="197">
        <v>9744</v>
      </c>
      <c r="AW494" s="197">
        <v>4640</v>
      </c>
      <c r="AX494" s="197">
        <v>14384</v>
      </c>
      <c r="AY494" s="203"/>
      <c r="AZ494" s="203"/>
      <c r="BA494" s="203">
        <v>0</v>
      </c>
      <c r="BB494" s="191" t="s">
        <v>2223</v>
      </c>
      <c r="BC494" s="191"/>
      <c r="BD494" s="192">
        <v>2</v>
      </c>
      <c r="BE494" s="40"/>
      <c r="BF494" s="187"/>
      <c r="BG494" s="183"/>
      <c r="BH494" s="183"/>
    </row>
    <row r="495" spans="1:60" ht="38.25" hidden="1" customHeight="1">
      <c r="A495" s="168" t="s">
        <v>239</v>
      </c>
      <c r="B495" s="119" t="s">
        <v>2224</v>
      </c>
      <c r="C495" s="119" t="s">
        <v>1467</v>
      </c>
      <c r="D495" s="116"/>
      <c r="E495" s="118" t="s">
        <v>107</v>
      </c>
      <c r="F495" s="118" t="s">
        <v>108</v>
      </c>
      <c r="G495" s="119"/>
      <c r="H495" s="119"/>
      <c r="I495" s="118"/>
      <c r="J495" s="139" t="s">
        <v>178</v>
      </c>
      <c r="K495" s="41">
        <v>1</v>
      </c>
      <c r="L495" s="41" t="s">
        <v>178</v>
      </c>
      <c r="M495" s="41">
        <v>1</v>
      </c>
      <c r="N495" s="39"/>
      <c r="O495" s="39"/>
      <c r="P495" s="5" t="s">
        <v>179</v>
      </c>
      <c r="Q495" s="41"/>
      <c r="R495" s="41" t="s">
        <v>112</v>
      </c>
      <c r="S495" s="41">
        <v>4</v>
      </c>
      <c r="T495" s="41" t="s">
        <v>139</v>
      </c>
      <c r="U495" s="41"/>
      <c r="V495" s="41"/>
      <c r="W495" s="175"/>
      <c r="X495" s="175"/>
      <c r="Y495" s="41"/>
      <c r="Z495" s="42" t="s">
        <v>141</v>
      </c>
      <c r="AA495" s="42" t="s">
        <v>2225</v>
      </c>
      <c r="AB495" s="42" t="s">
        <v>118</v>
      </c>
      <c r="AC495" s="42" t="s">
        <v>119</v>
      </c>
      <c r="AD495" s="42"/>
      <c r="AE495" s="42"/>
      <c r="AF495" s="38">
        <f t="shared" si="17"/>
        <v>40</v>
      </c>
      <c r="AG495" s="7">
        <v>40</v>
      </c>
      <c r="AH495" s="7"/>
      <c r="AI495" s="7">
        <v>40</v>
      </c>
      <c r="AJ495" s="7"/>
      <c r="AK495" s="7">
        <v>40</v>
      </c>
      <c r="AL495" s="7"/>
      <c r="AM495" s="7">
        <v>40</v>
      </c>
      <c r="AN495" s="39"/>
      <c r="AO495" s="63">
        <v>5.8</v>
      </c>
      <c r="AP495" s="60">
        <v>1600</v>
      </c>
      <c r="AQ495" s="60">
        <v>420</v>
      </c>
      <c r="AR495" s="60">
        <v>420</v>
      </c>
      <c r="AS495" s="40">
        <v>17052</v>
      </c>
      <c r="AT495" s="40">
        <v>9280</v>
      </c>
      <c r="AU495" s="40">
        <v>26332</v>
      </c>
      <c r="AV495" s="197">
        <v>17052</v>
      </c>
      <c r="AW495" s="197">
        <v>9280</v>
      </c>
      <c r="AX495" s="197">
        <v>26332</v>
      </c>
      <c r="AY495" s="203"/>
      <c r="AZ495" s="203"/>
      <c r="BA495" s="203">
        <v>0</v>
      </c>
      <c r="BB495" s="191" t="s">
        <v>2226</v>
      </c>
      <c r="BC495" s="191"/>
      <c r="BD495" s="192">
        <v>3</v>
      </c>
      <c r="BE495" s="40" t="s">
        <v>2071</v>
      </c>
      <c r="BF495" s="187"/>
      <c r="BG495" s="183"/>
      <c r="BH495" s="183"/>
    </row>
    <row r="496" spans="1:60" ht="33.75" hidden="1" customHeight="1">
      <c r="A496" s="168" t="s">
        <v>867</v>
      </c>
      <c r="B496" s="119" t="s">
        <v>890</v>
      </c>
      <c r="C496" s="119"/>
      <c r="D496" s="119" t="s">
        <v>2227</v>
      </c>
      <c r="E496" s="118" t="s">
        <v>107</v>
      </c>
      <c r="F496" s="118" t="s">
        <v>108</v>
      </c>
      <c r="G496" s="119" t="s">
        <v>2228</v>
      </c>
      <c r="H496" s="119"/>
      <c r="I496" s="118"/>
      <c r="J496" s="139" t="s">
        <v>178</v>
      </c>
      <c r="K496" s="41">
        <v>1</v>
      </c>
      <c r="L496" s="41" t="s">
        <v>178</v>
      </c>
      <c r="M496" s="41">
        <v>1</v>
      </c>
      <c r="N496" s="39"/>
      <c r="O496" s="39"/>
      <c r="P496" s="5" t="s">
        <v>179</v>
      </c>
      <c r="Q496" s="41"/>
      <c r="R496" s="41" t="s">
        <v>112</v>
      </c>
      <c r="S496" s="41">
        <v>3</v>
      </c>
      <c r="T496" s="41" t="s">
        <v>397</v>
      </c>
      <c r="U496" s="41"/>
      <c r="V496" s="41"/>
      <c r="W496" s="174"/>
      <c r="X496" s="174"/>
      <c r="Y496" s="41"/>
      <c r="Z496" s="42"/>
      <c r="AA496" s="37"/>
      <c r="AB496" s="42"/>
      <c r="AC496" s="42"/>
      <c r="AD496" s="51"/>
      <c r="AE496" s="51"/>
      <c r="AF496" s="38">
        <f t="shared" si="17"/>
        <v>40</v>
      </c>
      <c r="AG496" s="7">
        <v>40</v>
      </c>
      <c r="AH496" s="7"/>
      <c r="AI496" s="7">
        <v>40</v>
      </c>
      <c r="AJ496" s="7"/>
      <c r="AK496" s="7">
        <v>40</v>
      </c>
      <c r="AL496" s="7"/>
      <c r="AM496" s="7">
        <v>40</v>
      </c>
      <c r="AN496" s="39"/>
      <c r="AO496" s="140">
        <v>5.8</v>
      </c>
      <c r="AP496" s="60">
        <v>1600</v>
      </c>
      <c r="AQ496" s="60">
        <v>300</v>
      </c>
      <c r="AR496" s="60">
        <v>300</v>
      </c>
      <c r="AS496" s="40">
        <v>10440</v>
      </c>
      <c r="AT496" s="40">
        <v>9280</v>
      </c>
      <c r="AU496" s="40">
        <v>19720</v>
      </c>
      <c r="AV496" s="197">
        <v>10440</v>
      </c>
      <c r="AW496" s="197">
        <v>9280</v>
      </c>
      <c r="AX496" s="197">
        <v>19720</v>
      </c>
      <c r="AY496" s="203"/>
      <c r="AZ496" s="203"/>
      <c r="BA496" s="203">
        <v>0</v>
      </c>
      <c r="BB496" s="191" t="s">
        <v>621</v>
      </c>
      <c r="BC496" s="191"/>
      <c r="BD496" s="192">
        <v>3</v>
      </c>
      <c r="BE496" s="40"/>
      <c r="BF496" s="187"/>
      <c r="BG496" s="183"/>
      <c r="BH496" s="183"/>
    </row>
    <row r="497" spans="1:60" ht="27" hidden="1" customHeight="1">
      <c r="A497" s="168" t="s">
        <v>2229</v>
      </c>
      <c r="B497" s="119" t="s">
        <v>2230</v>
      </c>
      <c r="C497" s="119"/>
      <c r="D497" s="119" t="s">
        <v>2231</v>
      </c>
      <c r="E497" s="118" t="s">
        <v>126</v>
      </c>
      <c r="F497" s="118" t="s">
        <v>293</v>
      </c>
      <c r="G497" s="119" t="s">
        <v>2232</v>
      </c>
      <c r="H497" s="119"/>
      <c r="I497" s="118" t="s">
        <v>341</v>
      </c>
      <c r="J497" s="165"/>
      <c r="K497" s="41"/>
      <c r="L497" s="41"/>
      <c r="M497" s="41"/>
      <c r="N497" s="39"/>
      <c r="O497" s="39"/>
      <c r="P497" s="41" t="s">
        <v>303</v>
      </c>
      <c r="Q497" s="41">
        <v>1</v>
      </c>
      <c r="R497" s="41" t="s">
        <v>112</v>
      </c>
      <c r="S497" s="41"/>
      <c r="T497" s="41" t="s">
        <v>1984</v>
      </c>
      <c r="U497" s="41" t="s">
        <v>2233</v>
      </c>
      <c r="V497" s="41"/>
      <c r="W497" s="174">
        <v>45780</v>
      </c>
      <c r="X497" s="174">
        <v>45788</v>
      </c>
      <c r="Y497" s="41"/>
      <c r="Z497" s="42"/>
      <c r="AA497" s="37"/>
      <c r="AB497" s="42"/>
      <c r="AC497" s="42"/>
      <c r="AD497" s="51"/>
      <c r="AE497" s="51"/>
      <c r="AF497" s="38">
        <f t="shared" si="17"/>
        <v>0</v>
      </c>
      <c r="AG497" s="39"/>
      <c r="AH497" s="39"/>
      <c r="AI497" s="39"/>
      <c r="AJ497" s="39"/>
      <c r="AK497" s="39"/>
      <c r="AL497" s="39"/>
      <c r="AM497" s="39"/>
      <c r="AN497" s="39"/>
      <c r="AO497" s="63">
        <v>5.8</v>
      </c>
      <c r="AP497" s="60"/>
      <c r="AQ497" s="60"/>
      <c r="AR497" s="60"/>
      <c r="AS497" s="40"/>
      <c r="AT497" s="40"/>
      <c r="AU497" s="40"/>
      <c r="AV497" s="199"/>
      <c r="AW497" s="199"/>
      <c r="AX497" s="199"/>
      <c r="AY497" s="203">
        <v>10038.620000000001</v>
      </c>
      <c r="AZ497" s="203">
        <v>429.38</v>
      </c>
      <c r="BA497" s="203">
        <v>10038.620000000001</v>
      </c>
      <c r="BB497" s="191" t="s">
        <v>2234</v>
      </c>
      <c r="BC497" s="191" t="s">
        <v>2235</v>
      </c>
      <c r="BD497" s="193"/>
      <c r="BE497" s="40"/>
      <c r="BF497" s="187"/>
      <c r="BG497" s="183"/>
      <c r="BH497" s="183"/>
    </row>
    <row r="498" spans="1:60" ht="27" hidden="1" customHeight="1">
      <c r="A498" s="168" t="s">
        <v>2229</v>
      </c>
      <c r="B498" s="119" t="s">
        <v>2230</v>
      </c>
      <c r="C498" s="119"/>
      <c r="D498" s="119" t="s">
        <v>2231</v>
      </c>
      <c r="E498" s="118" t="s">
        <v>126</v>
      </c>
      <c r="F498" s="118" t="s">
        <v>293</v>
      </c>
      <c r="G498" s="119" t="s">
        <v>2232</v>
      </c>
      <c r="H498" s="119"/>
      <c r="I498" s="118" t="s">
        <v>341</v>
      </c>
      <c r="J498" s="165"/>
      <c r="K498" s="41"/>
      <c r="L498" s="41"/>
      <c r="M498" s="41"/>
      <c r="N498" s="39"/>
      <c r="O498" s="39"/>
      <c r="P498" s="41" t="s">
        <v>303</v>
      </c>
      <c r="Q498" s="41">
        <v>1</v>
      </c>
      <c r="R498" s="41" t="s">
        <v>112</v>
      </c>
      <c r="S498" s="41"/>
      <c r="T498" s="41" t="s">
        <v>1984</v>
      </c>
      <c r="U498" s="41" t="s">
        <v>2233</v>
      </c>
      <c r="V498" s="41"/>
      <c r="W498" s="174">
        <v>45780</v>
      </c>
      <c r="X498" s="174">
        <v>45788</v>
      </c>
      <c r="Y498" s="41"/>
      <c r="Z498" s="42"/>
      <c r="AA498" s="37"/>
      <c r="AB498" s="42"/>
      <c r="AC498" s="42"/>
      <c r="AD498" s="51"/>
      <c r="AE498" s="51"/>
      <c r="AF498" s="38">
        <f t="shared" ref="AF498" si="18">AG498*$AG$2+AI498*$AI$2+AK498*$AK$2+AM498*$AM$2</f>
        <v>0</v>
      </c>
      <c r="AG498" s="39"/>
      <c r="AH498" s="39"/>
      <c r="AI498" s="39"/>
      <c r="AJ498" s="39"/>
      <c r="AK498" s="39"/>
      <c r="AL498" s="39"/>
      <c r="AM498" s="39"/>
      <c r="AN498" s="39"/>
      <c r="AO498" s="63">
        <v>5.8</v>
      </c>
      <c r="AP498" s="60"/>
      <c r="AQ498" s="60"/>
      <c r="AR498" s="60"/>
      <c r="AS498" s="40"/>
      <c r="AT498" s="40"/>
      <c r="AU498" s="40"/>
      <c r="AV498" s="199"/>
      <c r="AW498" s="199"/>
      <c r="AX498" s="199"/>
      <c r="AY498" s="203">
        <v>9730.2800000000007</v>
      </c>
      <c r="AZ498" s="203">
        <v>429.38</v>
      </c>
      <c r="BA498" s="203">
        <f>9730.28+429.38</f>
        <v>10159.66</v>
      </c>
      <c r="BB498" s="191" t="s">
        <v>2236</v>
      </c>
      <c r="BC498" s="191" t="s">
        <v>2235</v>
      </c>
      <c r="BD498" s="193"/>
      <c r="BE498" s="40"/>
      <c r="BF498" s="187"/>
      <c r="BG498" s="183"/>
      <c r="BH498" s="183"/>
    </row>
    <row r="499" spans="1:60" ht="27.75" hidden="1" customHeight="1">
      <c r="A499" s="168" t="s">
        <v>2229</v>
      </c>
      <c r="B499" s="119" t="s">
        <v>2237</v>
      </c>
      <c r="C499" s="119"/>
      <c r="D499" s="119" t="s">
        <v>2238</v>
      </c>
      <c r="E499" s="118" t="s">
        <v>126</v>
      </c>
      <c r="F499" s="118" t="s">
        <v>293</v>
      </c>
      <c r="G499" s="119" t="s">
        <v>2239</v>
      </c>
      <c r="H499" s="119"/>
      <c r="I499" s="118" t="s">
        <v>2240</v>
      </c>
      <c r="J499" s="165"/>
      <c r="K499" s="41"/>
      <c r="L499" s="41"/>
      <c r="M499" s="41"/>
      <c r="N499" s="39" t="s">
        <v>115</v>
      </c>
      <c r="O499" s="39">
        <v>1</v>
      </c>
      <c r="P499" s="41" t="s">
        <v>303</v>
      </c>
      <c r="Q499" s="41">
        <v>1</v>
      </c>
      <c r="R499" s="41" t="s">
        <v>112</v>
      </c>
      <c r="S499" s="41">
        <v>4</v>
      </c>
      <c r="T499" s="41" t="s">
        <v>1984</v>
      </c>
      <c r="U499" s="41" t="s">
        <v>2233</v>
      </c>
      <c r="V499" s="41"/>
      <c r="W499" s="174">
        <v>45781</v>
      </c>
      <c r="X499" s="174">
        <v>45787</v>
      </c>
      <c r="Y499" s="41"/>
      <c r="Z499" s="42"/>
      <c r="AA499" s="37"/>
      <c r="AB499" s="42"/>
      <c r="AC499" s="42"/>
      <c r="AD499" s="51"/>
      <c r="AE499" s="51"/>
      <c r="AF499" s="38">
        <f t="shared" si="17"/>
        <v>0</v>
      </c>
      <c r="AG499" s="39"/>
      <c r="AH499" s="39"/>
      <c r="AI499" s="39"/>
      <c r="AJ499" s="39"/>
      <c r="AK499" s="39"/>
      <c r="AL499" s="39"/>
      <c r="AM499" s="39"/>
      <c r="AN499" s="39"/>
      <c r="AO499" s="63">
        <v>5.8</v>
      </c>
      <c r="AP499" s="58">
        <v>1600</v>
      </c>
      <c r="AQ499" s="58">
        <v>390</v>
      </c>
      <c r="AR499" s="58">
        <v>390</v>
      </c>
      <c r="AS499" s="40"/>
      <c r="AT499" s="40"/>
      <c r="AU499" s="40"/>
      <c r="AV499" s="199"/>
      <c r="AW499" s="199"/>
      <c r="AX499" s="199"/>
      <c r="AY499" s="203">
        <v>13082.68</v>
      </c>
      <c r="AZ499" s="203">
        <v>8819.7900000000009</v>
      </c>
      <c r="BA499" s="203">
        <f>13082.68+8819.79</f>
        <v>21902.47</v>
      </c>
      <c r="BB499" s="191" t="s">
        <v>2241</v>
      </c>
      <c r="BC499" s="191" t="s">
        <v>2242</v>
      </c>
      <c r="BD499" s="193"/>
      <c r="BE499" s="40"/>
      <c r="BF499" s="187"/>
      <c r="BG499" s="183"/>
      <c r="BH499" s="183"/>
    </row>
    <row r="500" spans="1:60" ht="27.75" hidden="1" customHeight="1">
      <c r="A500" s="168" t="s">
        <v>2229</v>
      </c>
      <c r="B500" s="119" t="s">
        <v>2237</v>
      </c>
      <c r="C500" s="119"/>
      <c r="D500" s="119" t="s">
        <v>2238</v>
      </c>
      <c r="E500" s="118" t="s">
        <v>126</v>
      </c>
      <c r="F500" s="118" t="s">
        <v>293</v>
      </c>
      <c r="G500" s="119" t="s">
        <v>2239</v>
      </c>
      <c r="H500" s="119"/>
      <c r="I500" s="118" t="s">
        <v>2240</v>
      </c>
      <c r="J500" s="165"/>
      <c r="K500" s="41"/>
      <c r="L500" s="41"/>
      <c r="M500" s="41"/>
      <c r="N500" s="39" t="s">
        <v>115</v>
      </c>
      <c r="O500" s="39">
        <v>1</v>
      </c>
      <c r="P500" s="41" t="s">
        <v>303</v>
      </c>
      <c r="Q500" s="41">
        <v>1</v>
      </c>
      <c r="R500" s="41" t="s">
        <v>112</v>
      </c>
      <c r="S500" s="41">
        <v>4</v>
      </c>
      <c r="T500" s="41" t="s">
        <v>1984</v>
      </c>
      <c r="U500" s="41" t="s">
        <v>2233</v>
      </c>
      <c r="V500" s="41"/>
      <c r="W500" s="174">
        <v>45781</v>
      </c>
      <c r="X500" s="174">
        <v>45787</v>
      </c>
      <c r="Y500" s="41"/>
      <c r="Z500" s="42"/>
      <c r="AA500" s="37"/>
      <c r="AB500" s="42"/>
      <c r="AC500" s="42"/>
      <c r="AD500" s="51"/>
      <c r="AE500" s="51"/>
      <c r="AF500" s="38">
        <f t="shared" ref="AF500" si="19">AG500*$AG$2+AI500*$AI$2+AK500*$AK$2+AM500*$AM$2</f>
        <v>0</v>
      </c>
      <c r="AG500" s="39"/>
      <c r="AH500" s="39"/>
      <c r="AI500" s="39"/>
      <c r="AJ500" s="39"/>
      <c r="AK500" s="39"/>
      <c r="AL500" s="39"/>
      <c r="AM500" s="39"/>
      <c r="AN500" s="39"/>
      <c r="AO500" s="63">
        <v>5.8</v>
      </c>
      <c r="AP500" s="58">
        <v>1600</v>
      </c>
      <c r="AQ500" s="58">
        <v>390</v>
      </c>
      <c r="AR500" s="58">
        <v>390</v>
      </c>
      <c r="AS500" s="40"/>
      <c r="AT500" s="40"/>
      <c r="AU500" s="40"/>
      <c r="AV500" s="199"/>
      <c r="AW500" s="199"/>
      <c r="AX500" s="199"/>
      <c r="AY500" s="203">
        <v>13074.58</v>
      </c>
      <c r="AZ500" s="203">
        <v>12033.36</v>
      </c>
      <c r="BA500" s="203">
        <f>13074.58+12033.36</f>
        <v>25107.940000000002</v>
      </c>
      <c r="BB500" s="191" t="s">
        <v>2243</v>
      </c>
      <c r="BC500" s="191" t="s">
        <v>2242</v>
      </c>
      <c r="BD500" s="193"/>
      <c r="BE500" s="40"/>
      <c r="BF500" s="187"/>
      <c r="BG500" s="183"/>
      <c r="BH500" s="183"/>
    </row>
    <row r="501" spans="1:60" ht="21.75" hidden="1" customHeight="1">
      <c r="A501" s="171" t="s">
        <v>290</v>
      </c>
      <c r="B501" s="119" t="s">
        <v>1055</v>
      </c>
      <c r="C501" s="119" t="s">
        <v>1056</v>
      </c>
      <c r="D501" s="119"/>
      <c r="E501" s="118" t="s">
        <v>339</v>
      </c>
      <c r="F501" s="118" t="s">
        <v>340</v>
      </c>
      <c r="G501" s="119"/>
      <c r="H501" s="119"/>
      <c r="I501" s="118"/>
      <c r="J501" s="165" t="s">
        <v>110</v>
      </c>
      <c r="K501" s="41">
        <v>1</v>
      </c>
      <c r="L501" s="41" t="s">
        <v>110</v>
      </c>
      <c r="M501" s="41">
        <v>1</v>
      </c>
      <c r="N501" s="39" t="s">
        <v>115</v>
      </c>
      <c r="O501" s="39">
        <v>1</v>
      </c>
      <c r="P501" s="41" t="s">
        <v>111</v>
      </c>
      <c r="Q501" s="41"/>
      <c r="R501" s="41" t="s">
        <v>112</v>
      </c>
      <c r="S501" s="41">
        <v>2</v>
      </c>
      <c r="T501" s="41" t="s">
        <v>295</v>
      </c>
      <c r="U501" s="41"/>
      <c r="V501" s="41" t="s">
        <v>115</v>
      </c>
      <c r="W501" s="174">
        <v>45992</v>
      </c>
      <c r="X501" s="174">
        <v>45992</v>
      </c>
      <c r="Y501" s="41"/>
      <c r="Z501" s="42" t="s">
        <v>141</v>
      </c>
      <c r="AA501" s="42" t="s">
        <v>2244</v>
      </c>
      <c r="AB501" s="42" t="s">
        <v>118</v>
      </c>
      <c r="AC501" s="42" t="s">
        <v>527</v>
      </c>
      <c r="AD501" s="42"/>
      <c r="AE501" s="42"/>
      <c r="AF501" s="38">
        <f t="shared" si="17"/>
        <v>82</v>
      </c>
      <c r="AG501" s="39">
        <v>80</v>
      </c>
      <c r="AH501" s="39"/>
      <c r="AI501" s="39">
        <v>80</v>
      </c>
      <c r="AJ501" s="39" t="s">
        <v>1058</v>
      </c>
      <c r="AK501" s="39">
        <v>80</v>
      </c>
      <c r="AL501" s="39"/>
      <c r="AM501" s="39">
        <v>100</v>
      </c>
      <c r="AN501" s="39" t="s">
        <v>1059</v>
      </c>
      <c r="AO501" s="140">
        <v>5.8</v>
      </c>
      <c r="AP501" s="60">
        <v>800</v>
      </c>
      <c r="AQ501" s="60">
        <v>330</v>
      </c>
      <c r="AR501" s="60">
        <v>330</v>
      </c>
      <c r="AS501" s="40">
        <v>7656</v>
      </c>
      <c r="AT501" s="40">
        <v>4640</v>
      </c>
      <c r="AU501" s="40">
        <v>12296</v>
      </c>
      <c r="AV501" s="199">
        <v>7656</v>
      </c>
      <c r="AW501" s="199">
        <v>4640</v>
      </c>
      <c r="AX501" s="199">
        <v>12296</v>
      </c>
      <c r="AY501" s="203"/>
      <c r="AZ501" s="203"/>
      <c r="BA501" s="203">
        <v>0</v>
      </c>
      <c r="BB501" s="191" t="s">
        <v>349</v>
      </c>
      <c r="BC501" s="191"/>
      <c r="BD501" s="41">
        <v>2</v>
      </c>
      <c r="BE501" s="40"/>
      <c r="BF501" s="187"/>
      <c r="BG501" s="183"/>
      <c r="BH501" s="183"/>
    </row>
    <row r="502" spans="1:60" ht="28.5" hidden="1" customHeight="1">
      <c r="A502" s="168" t="s">
        <v>248</v>
      </c>
      <c r="B502" s="119" t="s">
        <v>2245</v>
      </c>
      <c r="C502" s="119" t="s">
        <v>2246</v>
      </c>
      <c r="D502" s="119" t="s">
        <v>2247</v>
      </c>
      <c r="E502" s="118" t="s">
        <v>176</v>
      </c>
      <c r="F502" s="118" t="s">
        <v>293</v>
      </c>
      <c r="G502" s="117" t="s">
        <v>540</v>
      </c>
      <c r="H502" s="119"/>
      <c r="I502" s="118" t="s">
        <v>341</v>
      </c>
      <c r="J502" s="165" t="s">
        <v>110</v>
      </c>
      <c r="K502" s="41">
        <v>0</v>
      </c>
      <c r="L502" s="41" t="s">
        <v>110</v>
      </c>
      <c r="M502" s="41">
        <v>0</v>
      </c>
      <c r="N502" s="39"/>
      <c r="O502" s="39"/>
      <c r="P502" s="41" t="s">
        <v>111</v>
      </c>
      <c r="Q502" s="41">
        <v>1</v>
      </c>
      <c r="R502" s="41" t="s">
        <v>112</v>
      </c>
      <c r="S502" s="41">
        <v>9</v>
      </c>
      <c r="T502" s="41" t="s">
        <v>545</v>
      </c>
      <c r="U502" s="41" t="s">
        <v>2248</v>
      </c>
      <c r="V502" s="41" t="s">
        <v>115</v>
      </c>
      <c r="W502" s="174">
        <v>45789</v>
      </c>
      <c r="X502" s="174">
        <v>45797</v>
      </c>
      <c r="Y502" s="41"/>
      <c r="Z502" s="42" t="s">
        <v>293</v>
      </c>
      <c r="AA502" s="37" t="s">
        <v>2249</v>
      </c>
      <c r="AB502" s="42" t="s">
        <v>1680</v>
      </c>
      <c r="AC502" s="42" t="s">
        <v>683</v>
      </c>
      <c r="AD502" s="51"/>
      <c r="AE502" s="51"/>
      <c r="AF502" s="38">
        <v>68</v>
      </c>
      <c r="AG502" s="39">
        <v>40</v>
      </c>
      <c r="AH502" s="39"/>
      <c r="AI502" s="39">
        <v>80</v>
      </c>
      <c r="AJ502" s="39"/>
      <c r="AK502" s="39">
        <v>100</v>
      </c>
      <c r="AL502" s="39"/>
      <c r="AM502" s="39">
        <v>80</v>
      </c>
      <c r="AN502" s="39"/>
      <c r="AO502" s="63">
        <v>5.8</v>
      </c>
      <c r="AP502" s="60"/>
      <c r="AQ502" s="60"/>
      <c r="AR502" s="60"/>
      <c r="AS502" s="40"/>
      <c r="AT502" s="40"/>
      <c r="AU502" s="40"/>
      <c r="AV502" s="199"/>
      <c r="AW502" s="199"/>
      <c r="AX502" s="199"/>
      <c r="AY502" s="203"/>
      <c r="AZ502" s="203">
        <v>1003.9</v>
      </c>
      <c r="BA502" s="203">
        <v>1003.9</v>
      </c>
      <c r="BB502" s="191" t="s">
        <v>1119</v>
      </c>
      <c r="BC502" s="191" t="s">
        <v>2250</v>
      </c>
      <c r="BD502" s="193"/>
      <c r="BE502" s="40"/>
      <c r="BF502" s="187"/>
      <c r="BG502" s="183"/>
      <c r="BH502" s="183"/>
    </row>
    <row r="503" spans="1:60" ht="48" hidden="1" customHeight="1">
      <c r="A503" s="168" t="s">
        <v>290</v>
      </c>
      <c r="B503" s="150" t="s">
        <v>2251</v>
      </c>
      <c r="C503" s="119"/>
      <c r="D503" s="119" t="s">
        <v>2252</v>
      </c>
      <c r="E503" s="118" t="s">
        <v>126</v>
      </c>
      <c r="F503" s="118" t="s">
        <v>293</v>
      </c>
      <c r="G503" s="119" t="s">
        <v>2253</v>
      </c>
      <c r="H503" s="119"/>
      <c r="I503" s="118" t="s">
        <v>341</v>
      </c>
      <c r="J503" s="165"/>
      <c r="K503" s="41"/>
      <c r="L503" s="41"/>
      <c r="M503" s="41"/>
      <c r="N503" s="39"/>
      <c r="O503" s="39"/>
      <c r="P503" s="41"/>
      <c r="Q503" s="41"/>
      <c r="R503" s="41"/>
      <c r="S503" s="41"/>
      <c r="T503" s="41" t="s">
        <v>295</v>
      </c>
      <c r="U503" s="41" t="s">
        <v>296</v>
      </c>
      <c r="V503" s="41"/>
      <c r="W503" s="174">
        <v>45808</v>
      </c>
      <c r="X503" s="174">
        <v>45815</v>
      </c>
      <c r="Y503" s="41"/>
      <c r="Z503" s="42"/>
      <c r="AA503" s="37"/>
      <c r="AB503" s="42"/>
      <c r="AC503" s="42"/>
      <c r="AD503" s="51"/>
      <c r="AE503" s="51"/>
      <c r="AF503" s="38">
        <f t="shared" si="17"/>
        <v>0</v>
      </c>
      <c r="AG503" s="39"/>
      <c r="AH503" s="39"/>
      <c r="AI503" s="39"/>
      <c r="AJ503" s="39"/>
      <c r="AK503" s="39"/>
      <c r="AL503" s="39"/>
      <c r="AM503" s="39"/>
      <c r="AN503" s="39"/>
      <c r="AO503" s="63">
        <v>5.8</v>
      </c>
      <c r="AP503" s="60"/>
      <c r="AQ503" s="60"/>
      <c r="AR503" s="60"/>
      <c r="AS503" s="40"/>
      <c r="AT503" s="40"/>
      <c r="AU503" s="40"/>
      <c r="AV503" s="199"/>
      <c r="AW503" s="199"/>
      <c r="AX503" s="199"/>
      <c r="AY503" s="203"/>
      <c r="AZ503" s="203"/>
      <c r="BA503" s="203">
        <v>0</v>
      </c>
      <c r="BB503" s="191" t="s">
        <v>2254</v>
      </c>
      <c r="BC503" s="191" t="s">
        <v>2255</v>
      </c>
      <c r="BD503" s="193"/>
      <c r="BE503" s="40"/>
      <c r="BF503" s="187"/>
      <c r="BG503" s="183"/>
      <c r="BH503" s="183"/>
    </row>
    <row r="504" spans="1:60" ht="36" hidden="1" customHeight="1">
      <c r="A504" s="168" t="s">
        <v>290</v>
      </c>
      <c r="B504" s="150" t="s">
        <v>2256</v>
      </c>
      <c r="C504" s="119"/>
      <c r="D504" s="119" t="s">
        <v>2257</v>
      </c>
      <c r="E504" s="118" t="s">
        <v>216</v>
      </c>
      <c r="F504" s="118" t="s">
        <v>293</v>
      </c>
      <c r="G504" s="119" t="s">
        <v>2253</v>
      </c>
      <c r="H504" s="119"/>
      <c r="I504" s="118"/>
      <c r="J504" s="165"/>
      <c r="K504" s="41"/>
      <c r="L504" s="41"/>
      <c r="M504" s="41"/>
      <c r="N504" s="39"/>
      <c r="O504" s="39"/>
      <c r="P504" s="41"/>
      <c r="Q504" s="41"/>
      <c r="R504" s="41"/>
      <c r="S504" s="41"/>
      <c r="T504" s="41"/>
      <c r="U504" s="41"/>
      <c r="V504" s="41"/>
      <c r="W504" s="174"/>
      <c r="X504" s="174"/>
      <c r="Y504" s="41"/>
      <c r="Z504" s="42"/>
      <c r="AA504" s="37"/>
      <c r="AB504" s="42"/>
      <c r="AC504" s="42"/>
      <c r="AD504" s="51"/>
      <c r="AE504" s="51"/>
      <c r="AF504" s="38">
        <f t="shared" si="17"/>
        <v>0</v>
      </c>
      <c r="AG504" s="39"/>
      <c r="AH504" s="39"/>
      <c r="AI504" s="39"/>
      <c r="AJ504" s="39"/>
      <c r="AK504" s="39"/>
      <c r="AL504" s="39"/>
      <c r="AM504" s="39"/>
      <c r="AN504" s="39"/>
      <c r="AO504" s="63">
        <v>5.8</v>
      </c>
      <c r="AP504" s="60"/>
      <c r="AQ504" s="60"/>
      <c r="AR504" s="60"/>
      <c r="AS504" s="40"/>
      <c r="AT504" s="40"/>
      <c r="AU504" s="40"/>
      <c r="AV504" s="199"/>
      <c r="AW504" s="199"/>
      <c r="AX504" s="199"/>
      <c r="AY504" s="203"/>
      <c r="AZ504" s="203"/>
      <c r="BA504" s="203">
        <v>0</v>
      </c>
      <c r="BB504" s="191"/>
      <c r="BC504" s="191"/>
      <c r="BD504" s="193"/>
      <c r="BE504" s="40"/>
      <c r="BF504" s="187"/>
      <c r="BG504" s="183"/>
      <c r="BH504" s="183"/>
    </row>
    <row r="505" spans="1:60" ht="19.5" hidden="1" customHeight="1">
      <c r="A505" s="168" t="s">
        <v>2258</v>
      </c>
      <c r="B505" s="119" t="s">
        <v>2165</v>
      </c>
      <c r="C505" s="119" t="s">
        <v>2164</v>
      </c>
      <c r="D505" s="119" t="s">
        <v>2259</v>
      </c>
      <c r="E505" s="118" t="s">
        <v>315</v>
      </c>
      <c r="F505" s="118" t="s">
        <v>166</v>
      </c>
      <c r="G505" s="119" t="s">
        <v>2260</v>
      </c>
      <c r="H505" s="119"/>
      <c r="I505" s="118" t="s">
        <v>341</v>
      </c>
      <c r="J505" s="165"/>
      <c r="K505" s="41">
        <v>0</v>
      </c>
      <c r="L505" s="41"/>
      <c r="M505" s="41"/>
      <c r="N505" s="39" t="s">
        <v>115</v>
      </c>
      <c r="O505" s="39">
        <v>1</v>
      </c>
      <c r="P505" s="41" t="s">
        <v>2261</v>
      </c>
      <c r="Q505" s="41">
        <v>1</v>
      </c>
      <c r="R505" s="41" t="s">
        <v>112</v>
      </c>
      <c r="S505" s="41">
        <v>1</v>
      </c>
      <c r="T505" s="41" t="s">
        <v>933</v>
      </c>
      <c r="U505" s="41" t="s">
        <v>2262</v>
      </c>
      <c r="V505" s="41" t="s">
        <v>115</v>
      </c>
      <c r="W505" s="174">
        <v>45854</v>
      </c>
      <c r="X505" s="174">
        <v>45855</v>
      </c>
      <c r="Y505" s="41"/>
      <c r="Z505" s="42"/>
      <c r="AA505" s="37"/>
      <c r="AB505" s="42"/>
      <c r="AC505" s="42"/>
      <c r="AD505" s="51"/>
      <c r="AE505" s="51"/>
      <c r="AF505" s="38">
        <f t="shared" si="17"/>
        <v>0</v>
      </c>
      <c r="AG505" s="39"/>
      <c r="AH505" s="39"/>
      <c r="AI505" s="39"/>
      <c r="AJ505" s="39"/>
      <c r="AK505" s="39"/>
      <c r="AL505" s="39"/>
      <c r="AM505" s="39"/>
      <c r="AN505" s="39"/>
      <c r="AO505" s="63">
        <v>5.8</v>
      </c>
      <c r="AP505" s="58">
        <v>1600</v>
      </c>
      <c r="AQ505" s="58">
        <f>AVERAGE(460,420)</f>
        <v>440</v>
      </c>
      <c r="AR505" s="58">
        <f>AVERAGE(460,420)</f>
        <v>440</v>
      </c>
      <c r="AS505" s="40"/>
      <c r="AT505" s="40"/>
      <c r="AU505" s="40"/>
      <c r="AV505" s="199"/>
      <c r="AW505" s="199"/>
      <c r="AX505" s="199"/>
      <c r="AY505" s="203">
        <v>6641.48</v>
      </c>
      <c r="AZ505" s="205"/>
      <c r="BA505" s="205">
        <v>6641.48</v>
      </c>
      <c r="BB505" s="191" t="s">
        <v>316</v>
      </c>
      <c r="BC505" s="191" t="s">
        <v>2263</v>
      </c>
      <c r="BD505" s="193"/>
      <c r="BE505" s="40"/>
      <c r="BF505" s="187"/>
      <c r="BG505" s="183"/>
      <c r="BH505" s="183"/>
    </row>
    <row r="506" spans="1:60" ht="52.5" hidden="1">
      <c r="A506" s="168" t="s">
        <v>2264</v>
      </c>
      <c r="B506" s="119" t="s">
        <v>2265</v>
      </c>
      <c r="C506" s="119" t="s">
        <v>2266</v>
      </c>
      <c r="D506" s="119" t="s">
        <v>2267</v>
      </c>
      <c r="E506" s="118" t="s">
        <v>107</v>
      </c>
      <c r="F506" s="118" t="s">
        <v>108</v>
      </c>
      <c r="G506" s="119" t="s">
        <v>2268</v>
      </c>
      <c r="H506" s="119"/>
      <c r="I506" s="118" t="s">
        <v>341</v>
      </c>
      <c r="J506" s="165"/>
      <c r="K506" s="41"/>
      <c r="L506" s="41"/>
      <c r="M506" s="41"/>
      <c r="N506" s="39" t="s">
        <v>115</v>
      </c>
      <c r="O506" s="39">
        <v>1</v>
      </c>
      <c r="P506" s="41" t="s">
        <v>303</v>
      </c>
      <c r="Q506" s="41"/>
      <c r="R506" s="41" t="s">
        <v>112</v>
      </c>
      <c r="S506" s="41">
        <v>6</v>
      </c>
      <c r="T506" s="41" t="s">
        <v>139</v>
      </c>
      <c r="U506" s="41" t="s">
        <v>444</v>
      </c>
      <c r="V506" s="41"/>
      <c r="W506" s="174">
        <v>45809</v>
      </c>
      <c r="X506" s="174">
        <v>45815</v>
      </c>
      <c r="Y506" s="41"/>
      <c r="Z506" s="42"/>
      <c r="AA506" s="37"/>
      <c r="AB506" s="42"/>
      <c r="AC506" s="42"/>
      <c r="AD506" s="51"/>
      <c r="AE506" s="51"/>
      <c r="AF506" s="38">
        <f t="shared" si="17"/>
        <v>0</v>
      </c>
      <c r="AG506" s="39"/>
      <c r="AH506" s="39"/>
      <c r="AI506" s="39"/>
      <c r="AJ506" s="39"/>
      <c r="AK506" s="39"/>
      <c r="AL506" s="39"/>
      <c r="AM506" s="39"/>
      <c r="AN506" s="39"/>
      <c r="AO506" s="63">
        <v>5.8</v>
      </c>
      <c r="AP506" s="58">
        <v>1600</v>
      </c>
      <c r="AQ506" s="58">
        <v>390</v>
      </c>
      <c r="AR506" s="58">
        <v>390</v>
      </c>
      <c r="AS506" s="40"/>
      <c r="AT506" s="40"/>
      <c r="AU506" s="40"/>
      <c r="AV506" s="199"/>
      <c r="AW506" s="199"/>
      <c r="AX506" s="199"/>
      <c r="AY506" s="203">
        <v>12392.43</v>
      </c>
      <c r="AZ506" s="203"/>
      <c r="BA506" s="203">
        <v>12392.43</v>
      </c>
      <c r="BB506" s="191" t="s">
        <v>1428</v>
      </c>
      <c r="BC506" s="191" t="s">
        <v>2269</v>
      </c>
      <c r="BD506" s="193"/>
      <c r="BE506" s="40"/>
      <c r="BF506" s="187"/>
      <c r="BG506" s="183"/>
      <c r="BH506" s="183"/>
    </row>
    <row r="507" spans="1:60" ht="39" hidden="1" customHeight="1">
      <c r="A507" s="168" t="s">
        <v>2270</v>
      </c>
      <c r="B507" s="150" t="s">
        <v>2271</v>
      </c>
      <c r="C507" s="119"/>
      <c r="D507" s="119" t="s">
        <v>2272</v>
      </c>
      <c r="E507" s="118" t="s">
        <v>126</v>
      </c>
      <c r="F507" s="118" t="s">
        <v>293</v>
      </c>
      <c r="G507" s="150" t="s">
        <v>2273</v>
      </c>
      <c r="H507" s="119"/>
      <c r="I507" s="213" t="s">
        <v>341</v>
      </c>
      <c r="J507" s="211"/>
      <c r="K507" s="168">
        <v>0</v>
      </c>
      <c r="L507" s="41"/>
      <c r="M507" s="41">
        <v>0</v>
      </c>
      <c r="N507" s="39"/>
      <c r="O507" s="39"/>
      <c r="P507" s="41" t="s">
        <v>303</v>
      </c>
      <c r="Q507" s="41">
        <v>1</v>
      </c>
      <c r="R507" s="41"/>
      <c r="S507" s="41"/>
      <c r="T507" s="41" t="s">
        <v>295</v>
      </c>
      <c r="U507" s="41" t="s">
        <v>296</v>
      </c>
      <c r="V507" s="41" t="s">
        <v>115</v>
      </c>
      <c r="W507" s="174">
        <v>45830</v>
      </c>
      <c r="X507" s="174">
        <v>45836</v>
      </c>
      <c r="Y507" s="41"/>
      <c r="Z507" s="42"/>
      <c r="AA507" s="37"/>
      <c r="AB507" s="42"/>
      <c r="AC507" s="42"/>
      <c r="AD507" s="156"/>
      <c r="AE507" s="156"/>
      <c r="AF507" s="38">
        <f t="shared" ref="AF507:AF512" si="20">AG507*$AG$2+AI507*$AI$2+AK507*$AK$2+AM507*$AM$2</f>
        <v>0</v>
      </c>
      <c r="AG507" s="39"/>
      <c r="AH507" s="39"/>
      <c r="AI507" s="39"/>
      <c r="AJ507" s="39"/>
      <c r="AK507" s="39"/>
      <c r="AL507" s="39"/>
      <c r="AM507" s="39"/>
      <c r="AN507" s="39"/>
      <c r="AO507" s="63">
        <v>5.8</v>
      </c>
      <c r="AP507" s="60"/>
      <c r="AQ507" s="60"/>
      <c r="AR507" s="60"/>
      <c r="AS507" s="40"/>
      <c r="AT507" s="40"/>
      <c r="AU507" s="40"/>
      <c r="AV507" s="199"/>
      <c r="AW507" s="199"/>
      <c r="AX507" s="199"/>
      <c r="AY507" s="203"/>
      <c r="AZ507" s="205"/>
      <c r="BA507" s="205">
        <v>0</v>
      </c>
      <c r="BB507" s="191" t="s">
        <v>2274</v>
      </c>
      <c r="BC507" s="191" t="s">
        <v>2275</v>
      </c>
      <c r="BD507" s="193"/>
      <c r="BE507" s="40"/>
      <c r="BF507" s="187"/>
      <c r="BG507" s="183" t="s">
        <v>2276</v>
      </c>
      <c r="BH507" s="183"/>
    </row>
    <row r="508" spans="1:60" ht="40.5" hidden="1" customHeight="1">
      <c r="A508" s="168" t="s">
        <v>290</v>
      </c>
      <c r="B508" s="150" t="s">
        <v>2277</v>
      </c>
      <c r="C508" s="119"/>
      <c r="D508" s="119" t="s">
        <v>2278</v>
      </c>
      <c r="E508" s="118"/>
      <c r="F508" s="118" t="s">
        <v>293</v>
      </c>
      <c r="G508" s="150" t="s">
        <v>2273</v>
      </c>
      <c r="H508" s="119"/>
      <c r="I508" s="213"/>
      <c r="J508" s="211"/>
      <c r="K508" s="168"/>
      <c r="L508" s="41"/>
      <c r="M508" s="41"/>
      <c r="N508" s="39"/>
      <c r="O508" s="39"/>
      <c r="P508" s="41"/>
      <c r="Q508" s="41"/>
      <c r="R508" s="41"/>
      <c r="S508" s="41"/>
      <c r="T508" s="41"/>
      <c r="U508" s="41"/>
      <c r="V508" s="41"/>
      <c r="W508" s="174"/>
      <c r="X508" s="174"/>
      <c r="Y508" s="41"/>
      <c r="Z508" s="42"/>
      <c r="AA508" s="37"/>
      <c r="AB508" s="42"/>
      <c r="AC508" s="42"/>
      <c r="AD508" s="156"/>
      <c r="AE508" s="156"/>
      <c r="AF508" s="38">
        <f t="shared" si="20"/>
        <v>0</v>
      </c>
      <c r="AG508" s="39"/>
      <c r="AH508" s="39"/>
      <c r="AI508" s="39"/>
      <c r="AJ508" s="39"/>
      <c r="AK508" s="39"/>
      <c r="AL508" s="39"/>
      <c r="AM508" s="39"/>
      <c r="AN508" s="39"/>
      <c r="AO508" s="63">
        <v>5.8</v>
      </c>
      <c r="AP508" s="60"/>
      <c r="AQ508" s="60"/>
      <c r="AR508" s="60"/>
      <c r="AS508" s="40"/>
      <c r="AT508" s="40"/>
      <c r="AU508" s="40"/>
      <c r="AV508" s="199"/>
      <c r="AW508" s="199"/>
      <c r="AX508" s="199"/>
      <c r="AY508" s="203"/>
      <c r="AZ508" s="205"/>
      <c r="BA508" s="205">
        <v>0</v>
      </c>
      <c r="BB508" s="191"/>
      <c r="BC508" s="191"/>
      <c r="BD508" s="193"/>
      <c r="BE508" s="40"/>
      <c r="BF508" s="187"/>
      <c r="BG508" s="183"/>
      <c r="BH508" s="183"/>
    </row>
    <row r="509" spans="1:60" ht="21" hidden="1">
      <c r="A509" s="168" t="s">
        <v>122</v>
      </c>
      <c r="B509" s="119" t="s">
        <v>2279</v>
      </c>
      <c r="C509" s="119"/>
      <c r="D509" s="119"/>
      <c r="E509" s="118" t="s">
        <v>126</v>
      </c>
      <c r="F509" s="118" t="s">
        <v>340</v>
      </c>
      <c r="G509" s="119" t="s">
        <v>186</v>
      </c>
      <c r="H509" s="119"/>
      <c r="I509" s="213"/>
      <c r="J509" s="212"/>
      <c r="K509" s="168"/>
      <c r="L509" s="41"/>
      <c r="M509" s="41"/>
      <c r="N509" s="39" t="s">
        <v>115</v>
      </c>
      <c r="O509" s="39">
        <v>1</v>
      </c>
      <c r="P509" s="41" t="s">
        <v>303</v>
      </c>
      <c r="Q509" s="41"/>
      <c r="R509" s="41" t="s">
        <v>112</v>
      </c>
      <c r="S509" s="41">
        <v>4</v>
      </c>
      <c r="T509" s="41" t="s">
        <v>1984</v>
      </c>
      <c r="U509" s="41" t="s">
        <v>2233</v>
      </c>
      <c r="V509" s="41"/>
      <c r="W509" s="174">
        <v>45958</v>
      </c>
      <c r="X509" s="174">
        <v>45961</v>
      </c>
      <c r="Y509" s="41"/>
      <c r="Z509" s="42"/>
      <c r="AA509" s="37"/>
      <c r="AB509" s="42"/>
      <c r="AC509" s="42"/>
      <c r="AD509" s="51"/>
      <c r="AE509" s="51"/>
      <c r="AF509" s="38">
        <f t="shared" si="20"/>
        <v>0</v>
      </c>
      <c r="AG509" s="39"/>
      <c r="AH509" s="39"/>
      <c r="AI509" s="39"/>
      <c r="AJ509" s="39"/>
      <c r="AK509" s="39"/>
      <c r="AL509" s="39"/>
      <c r="AM509" s="39"/>
      <c r="AN509" s="39"/>
      <c r="AO509" s="63">
        <v>5.8</v>
      </c>
      <c r="AP509" s="58">
        <v>1600</v>
      </c>
      <c r="AQ509" s="58">
        <v>390</v>
      </c>
      <c r="AR509" s="58">
        <v>390</v>
      </c>
      <c r="AS509" s="40"/>
      <c r="AT509" s="40"/>
      <c r="AU509" s="40"/>
      <c r="AV509" s="199"/>
      <c r="AW509" s="199"/>
      <c r="AX509" s="199"/>
      <c r="AY509" s="203"/>
      <c r="AZ509" s="203"/>
      <c r="BA509" s="203">
        <f>PAI2025Planejamento[[#This Row],[PASSAGEM AÉREA (R$) EXECUTADA]]</f>
        <v>0</v>
      </c>
      <c r="BB509" s="191" t="s">
        <v>2280</v>
      </c>
      <c r="BC509" s="191"/>
      <c r="BD509" s="193"/>
      <c r="BE509" s="40"/>
      <c r="BF509" s="187"/>
      <c r="BG509" s="183"/>
      <c r="BH509" s="183"/>
    </row>
    <row r="510" spans="1:60" ht="31.5" hidden="1">
      <c r="A510" s="168" t="s">
        <v>551</v>
      </c>
      <c r="B510" s="119" t="s">
        <v>552</v>
      </c>
      <c r="C510" s="119" t="s">
        <v>2281</v>
      </c>
      <c r="D510" s="119" t="s">
        <v>2282</v>
      </c>
      <c r="E510" s="118" t="s">
        <v>201</v>
      </c>
      <c r="F510" s="118" t="s">
        <v>166</v>
      </c>
      <c r="G510" s="119" t="s">
        <v>2283</v>
      </c>
      <c r="H510" s="119"/>
      <c r="I510" s="213"/>
      <c r="J510" s="212"/>
      <c r="K510" s="168"/>
      <c r="L510" s="41"/>
      <c r="M510" s="41"/>
      <c r="N510" s="39" t="s">
        <v>115</v>
      </c>
      <c r="O510" s="39">
        <v>1</v>
      </c>
      <c r="P510" s="41" t="s">
        <v>303</v>
      </c>
      <c r="Q510" s="41"/>
      <c r="R510" s="41" t="s">
        <v>112</v>
      </c>
      <c r="S510" s="41">
        <v>2</v>
      </c>
      <c r="T510" s="41" t="s">
        <v>295</v>
      </c>
      <c r="U510" s="41" t="s">
        <v>296</v>
      </c>
      <c r="V510" s="41" t="s">
        <v>115</v>
      </c>
      <c r="W510" s="174">
        <v>45909</v>
      </c>
      <c r="X510" s="174">
        <v>45910</v>
      </c>
      <c r="Y510" s="41"/>
      <c r="Z510" s="42" t="s">
        <v>2184</v>
      </c>
      <c r="AA510" s="167" t="s">
        <v>2284</v>
      </c>
      <c r="AB510" s="42" t="s">
        <v>561</v>
      </c>
      <c r="AC510" s="42"/>
      <c r="AD510" s="51"/>
      <c r="AE510" s="51"/>
      <c r="AF510" s="38">
        <f t="shared" si="20"/>
        <v>0</v>
      </c>
      <c r="AG510" s="39"/>
      <c r="AH510" s="39"/>
      <c r="AI510" s="39"/>
      <c r="AJ510" s="39"/>
      <c r="AK510" s="39"/>
      <c r="AL510" s="39"/>
      <c r="AM510" s="39"/>
      <c r="AN510" s="39"/>
      <c r="AO510" s="63">
        <v>5.8</v>
      </c>
      <c r="AP510" s="60">
        <v>800</v>
      </c>
      <c r="AQ510" s="60">
        <v>330</v>
      </c>
      <c r="AR510" s="60">
        <v>330</v>
      </c>
      <c r="AS510" s="40"/>
      <c r="AT510" s="40"/>
      <c r="AU510" s="40"/>
      <c r="AV510" s="199"/>
      <c r="AW510" s="199"/>
      <c r="AX510" s="199"/>
      <c r="AY510" s="203"/>
      <c r="AZ510" s="203"/>
      <c r="BA510" s="203">
        <f>PAI2025Planejamento[[#This Row],[PASSAGEM AÉREA (R$) EXECUTADA]]</f>
        <v>0</v>
      </c>
      <c r="BB510" s="191" t="s">
        <v>2285</v>
      </c>
      <c r="BC510" s="191"/>
      <c r="BD510" s="193"/>
      <c r="BE510" s="40"/>
      <c r="BF510" s="187"/>
      <c r="BG510" s="183"/>
      <c r="BH510" s="183"/>
    </row>
    <row r="511" spans="1:60" ht="31.5" hidden="1">
      <c r="A511" s="168" t="s">
        <v>2286</v>
      </c>
      <c r="B511" s="119" t="s">
        <v>2287</v>
      </c>
      <c r="C511" s="119"/>
      <c r="D511" s="119"/>
      <c r="E511" s="118" t="s">
        <v>339</v>
      </c>
      <c r="F511" s="118" t="s">
        <v>340</v>
      </c>
      <c r="G511" s="119" t="s">
        <v>2288</v>
      </c>
      <c r="H511" s="119"/>
      <c r="I511" s="213"/>
      <c r="J511" s="212"/>
      <c r="K511" s="168"/>
      <c r="L511" s="41"/>
      <c r="M511" s="41"/>
      <c r="N511" s="39" t="s">
        <v>115</v>
      </c>
      <c r="O511" s="39">
        <v>2</v>
      </c>
      <c r="P511" s="41" t="s">
        <v>303</v>
      </c>
      <c r="Q511" s="41"/>
      <c r="R511" s="41" t="s">
        <v>112</v>
      </c>
      <c r="S511" s="41">
        <v>5</v>
      </c>
      <c r="T511" s="41" t="s">
        <v>139</v>
      </c>
      <c r="U511" s="41"/>
      <c r="V511" s="41"/>
      <c r="W511" s="174">
        <v>45992</v>
      </c>
      <c r="X511" s="174">
        <v>45992</v>
      </c>
      <c r="Y511" s="41"/>
      <c r="Z511" s="42"/>
      <c r="AA511" s="37"/>
      <c r="AB511" s="42"/>
      <c r="AC511" s="42"/>
      <c r="AD511" s="51"/>
      <c r="AE511" s="51"/>
      <c r="AF511" s="38">
        <f t="shared" si="20"/>
        <v>0</v>
      </c>
      <c r="AG511" s="39"/>
      <c r="AH511" s="39"/>
      <c r="AI511" s="39"/>
      <c r="AJ511" s="39"/>
      <c r="AK511" s="39"/>
      <c r="AL511" s="39"/>
      <c r="AM511" s="39"/>
      <c r="AN511" s="39"/>
      <c r="AO511" s="63">
        <v>5.8</v>
      </c>
      <c r="AP511" s="58">
        <v>1600</v>
      </c>
      <c r="AQ511" s="58">
        <v>390</v>
      </c>
      <c r="AR511" s="58">
        <v>390</v>
      </c>
      <c r="AS511" s="40"/>
      <c r="AT511" s="40"/>
      <c r="AU511" s="40"/>
      <c r="AV511" s="199"/>
      <c r="AW511" s="199"/>
      <c r="AX511" s="199"/>
      <c r="AY511" s="203"/>
      <c r="AZ511" s="203"/>
      <c r="BA511" s="203">
        <f>PAI2025Planejamento[[#This Row],[PASSAGEM AÉREA (R$) EXECUTADA]]</f>
        <v>0</v>
      </c>
      <c r="BB511" s="191"/>
      <c r="BC511" s="191"/>
      <c r="BD511" s="193"/>
      <c r="BE511" s="40"/>
      <c r="BF511" s="187"/>
      <c r="BG511" s="183"/>
      <c r="BH511" s="183"/>
    </row>
    <row r="512" spans="1:60" ht="42" hidden="1">
      <c r="A512" s="168" t="s">
        <v>735</v>
      </c>
      <c r="B512" s="119" t="s">
        <v>2289</v>
      </c>
      <c r="C512" s="119"/>
      <c r="D512" s="119" t="s">
        <v>2290</v>
      </c>
      <c r="E512" s="118" t="s">
        <v>309</v>
      </c>
      <c r="F512" s="118" t="s">
        <v>293</v>
      </c>
      <c r="G512" s="119" t="s">
        <v>2291</v>
      </c>
      <c r="H512" s="119"/>
      <c r="I512" s="118"/>
      <c r="J512" s="209"/>
      <c r="K512" s="41"/>
      <c r="L512" s="41"/>
      <c r="M512" s="41"/>
      <c r="N512" s="39" t="s">
        <v>115</v>
      </c>
      <c r="O512" s="39" t="s">
        <v>115</v>
      </c>
      <c r="P512" s="41" t="s">
        <v>303</v>
      </c>
      <c r="Q512" s="41"/>
      <c r="R512" s="41" t="s">
        <v>112</v>
      </c>
      <c r="S512" s="41">
        <v>3</v>
      </c>
      <c r="T512" s="41" t="s">
        <v>2292</v>
      </c>
      <c r="U512" s="41" t="s">
        <v>2292</v>
      </c>
      <c r="V512" s="41" t="s">
        <v>115</v>
      </c>
      <c r="W512" s="174">
        <v>45887</v>
      </c>
      <c r="X512" s="174">
        <v>45889</v>
      </c>
      <c r="Y512" s="41"/>
      <c r="Z512" s="42"/>
      <c r="AA512" s="37"/>
      <c r="AB512" s="42"/>
      <c r="AC512" s="42"/>
      <c r="AD512" s="51"/>
      <c r="AE512" s="51"/>
      <c r="AF512" s="38">
        <f t="shared" si="20"/>
        <v>0</v>
      </c>
      <c r="AG512" s="39"/>
      <c r="AH512" s="39"/>
      <c r="AI512" s="39"/>
      <c r="AJ512" s="39"/>
      <c r="AK512" s="39"/>
      <c r="AL512" s="39"/>
      <c r="AM512" s="39"/>
      <c r="AN512" s="39"/>
      <c r="AO512" s="60">
        <v>5.8</v>
      </c>
      <c r="AP512" s="60">
        <v>0</v>
      </c>
      <c r="AQ512" s="60">
        <v>0</v>
      </c>
      <c r="AR512" s="60">
        <v>0</v>
      </c>
      <c r="AS512" s="40"/>
      <c r="AT512" s="40"/>
      <c r="AU512" s="40"/>
      <c r="AV512" s="199"/>
      <c r="AW512" s="199"/>
      <c r="AX512" s="199"/>
      <c r="AY512" s="203"/>
      <c r="AZ512" s="203"/>
      <c r="BA512" s="203">
        <f>PAI2025Planejamento[[#This Row],[PASSAGEM AÉREA (R$) EXECUTADA]]</f>
        <v>0</v>
      </c>
      <c r="BB512" s="191" t="s">
        <v>2293</v>
      </c>
      <c r="BC512" s="191"/>
      <c r="BD512" s="193"/>
      <c r="BE512" s="40"/>
      <c r="BF512" s="40"/>
      <c r="BG512" s="210"/>
      <c r="BH512" s="210"/>
    </row>
  </sheetData>
  <autoFilter ref="S513" xr:uid="{DFA9CB9D-F228-4574-9714-19441B4908DD}"/>
  <mergeCells count="8">
    <mergeCell ref="Z1:AE2"/>
    <mergeCell ref="A1:Y2"/>
    <mergeCell ref="AY1:BA2"/>
    <mergeCell ref="BB1:BD2"/>
    <mergeCell ref="AV1:AX2"/>
    <mergeCell ref="AS1:AU2"/>
    <mergeCell ref="AO1:AR2"/>
    <mergeCell ref="AF1:AN1"/>
  </mergeCells>
  <phoneticPr fontId="19" type="noConversion"/>
  <pageMargins left="0.511811024" right="0.511811024" top="0.78740157499999996" bottom="0.78740157499999996" header="0.31496062000000002" footer="0.31496062000000002"/>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2E8A7-9235-4B82-B137-844BCF8BCC08}">
  <dimension ref="A1:C22"/>
  <sheetViews>
    <sheetView zoomScale="90" zoomScaleNormal="90" workbookViewId="0">
      <pane xSplit="1" ySplit="1" topLeftCell="B2" activePane="bottomRight" state="frozen"/>
      <selection pane="topRight" activeCell="C31" sqref="C31"/>
      <selection pane="bottomLeft" activeCell="C31" sqref="C31"/>
      <selection pane="bottomRight" activeCell="F10" sqref="F10"/>
    </sheetView>
  </sheetViews>
  <sheetFormatPr defaultRowHeight="15"/>
  <cols>
    <col min="1" max="1" width="15.42578125" customWidth="1"/>
    <col min="2" max="2" width="14.85546875" customWidth="1"/>
    <col min="3" max="3" width="12.5703125" customWidth="1"/>
  </cols>
  <sheetData>
    <row r="1" spans="1:3" s="68" customFormat="1" ht="45" customHeight="1">
      <c r="A1" s="66" t="s">
        <v>2294</v>
      </c>
      <c r="B1" s="124" t="s">
        <v>2295</v>
      </c>
      <c r="C1" s="124" t="s">
        <v>2296</v>
      </c>
    </row>
    <row r="2" spans="1:3">
      <c r="A2" t="s">
        <v>201</v>
      </c>
      <c r="B2" s="43">
        <v>360000</v>
      </c>
      <c r="C2" s="142">
        <f>Resumo2[[#This Row],[ORÇAMENTO POR UDVD 
4mi]]/$B$18*$C$18</f>
        <v>295899.3</v>
      </c>
    </row>
    <row r="3" spans="1:3">
      <c r="A3" t="s">
        <v>402</v>
      </c>
      <c r="B3" s="43">
        <v>120000</v>
      </c>
      <c r="C3" s="142">
        <f>Resumo2[[#This Row],[ORÇAMENTO POR UDVD 
4mi]]/$B$18*$C$18</f>
        <v>98633.099999999991</v>
      </c>
    </row>
    <row r="4" spans="1:3">
      <c r="A4" t="s">
        <v>339</v>
      </c>
      <c r="B4" s="43">
        <v>260000</v>
      </c>
      <c r="C4" s="142">
        <f>Resumo2[[#This Row],[ORÇAMENTO POR UDVD 
4mi]]/$B$18*$C$18</f>
        <v>213705.05000000002</v>
      </c>
    </row>
    <row r="5" spans="1:3">
      <c r="A5" t="s">
        <v>107</v>
      </c>
      <c r="B5" s="43">
        <v>1000000</v>
      </c>
      <c r="C5" s="142">
        <f>Resumo2[[#This Row],[ORÇAMENTO POR UDVD 
4mi]]/$B$18*$C$18</f>
        <v>821942.5</v>
      </c>
    </row>
    <row r="6" spans="1:3">
      <c r="A6" t="s">
        <v>165</v>
      </c>
      <c r="B6" s="43">
        <v>220000</v>
      </c>
      <c r="C6" s="142">
        <f>Resumo2[[#This Row],[ORÇAMENTO POR UDVD 
4mi]]/$B$18*$C$18</f>
        <v>180827.35</v>
      </c>
    </row>
    <row r="7" spans="1:3">
      <c r="A7" t="s">
        <v>625</v>
      </c>
      <c r="B7" s="43">
        <v>20000</v>
      </c>
      <c r="C7" s="142">
        <f>Resumo2[[#This Row],[ORÇAMENTO POR UDVD 
4mi]]/$B$18*$C$18</f>
        <v>16438.849999999999</v>
      </c>
    </row>
    <row r="8" spans="1:3">
      <c r="A8" t="s">
        <v>195</v>
      </c>
      <c r="B8" s="43">
        <v>220000</v>
      </c>
      <c r="C8" s="142">
        <f>Resumo2[[#This Row],[ORÇAMENTO POR UDVD 
4mi]]/$B$18*$C$18</f>
        <v>180827.35</v>
      </c>
    </row>
    <row r="9" spans="1:3">
      <c r="A9" t="s">
        <v>274</v>
      </c>
      <c r="B9" s="43">
        <v>230000</v>
      </c>
      <c r="C9" s="142">
        <f>Resumo2[[#This Row],[ORÇAMENTO POR UDVD 
4mi]]/$B$18*$C$18</f>
        <v>189046.77499999999</v>
      </c>
    </row>
    <row r="10" spans="1:3">
      <c r="A10" t="s">
        <v>1604</v>
      </c>
      <c r="B10" s="43">
        <v>40000</v>
      </c>
      <c r="C10" s="142">
        <f>Resumo2[[#This Row],[ORÇAMENTO POR UDVD 
4mi]]/$B$18*$C$18</f>
        <v>32877.699999999997</v>
      </c>
    </row>
    <row r="11" spans="1:3">
      <c r="A11" t="s">
        <v>126</v>
      </c>
      <c r="B11" s="43">
        <v>520000</v>
      </c>
      <c r="C11" s="142">
        <f>Resumo2[[#This Row],[ORÇAMENTO POR UDVD 
4mi]]/$B$18*$C$18</f>
        <v>427410.10000000003</v>
      </c>
    </row>
    <row r="12" spans="1:3">
      <c r="A12" t="s">
        <v>216</v>
      </c>
      <c r="B12" s="43">
        <v>630000</v>
      </c>
      <c r="C12" s="142">
        <f>Resumo2[[#This Row],[ORÇAMENTO POR UDVD 
4mi]]/$B$18*$C$18</f>
        <v>517823.77500000002</v>
      </c>
    </row>
    <row r="13" spans="1:3">
      <c r="A13" t="s">
        <v>264</v>
      </c>
      <c r="B13" s="43">
        <v>40000</v>
      </c>
      <c r="C13" s="142">
        <f>Resumo2[[#This Row],[ORÇAMENTO POR UDVD 
4mi]]/$B$18*$C$18</f>
        <v>32877.699999999997</v>
      </c>
    </row>
    <row r="14" spans="1:3">
      <c r="A14" t="s">
        <v>1505</v>
      </c>
      <c r="B14" s="43">
        <v>40000</v>
      </c>
      <c r="C14" s="142">
        <f>Resumo2[[#This Row],[ORÇAMENTO POR UDVD 
4mi]]/$B$18*$C$18</f>
        <v>32877.699999999997</v>
      </c>
    </row>
    <row r="15" spans="1:3">
      <c r="A15" t="s">
        <v>434</v>
      </c>
      <c r="B15" s="43">
        <v>60000</v>
      </c>
      <c r="C15" s="142">
        <f>Resumo2[[#This Row],[ORÇAMENTO POR UDVD 
4mi]]/$B$18*$C$18</f>
        <v>49316.549999999996</v>
      </c>
    </row>
    <row r="16" spans="1:3">
      <c r="A16" t="s">
        <v>176</v>
      </c>
      <c r="B16" s="43">
        <v>240000</v>
      </c>
      <c r="C16" s="142">
        <f>Resumo2[[#This Row],[ORÇAMENTO POR UDVD 
4mi]]/$B$18*$C$18</f>
        <v>197266.19999999998</v>
      </c>
    </row>
    <row r="17" spans="1:3" s="81" customFormat="1">
      <c r="A17" s="81" t="s">
        <v>2297</v>
      </c>
      <c r="B17" s="82">
        <v>500000</v>
      </c>
      <c r="C17" s="143">
        <v>500000</v>
      </c>
    </row>
    <row r="18" spans="1:3" s="70" customFormat="1">
      <c r="A18" s="70" t="s">
        <v>2298</v>
      </c>
      <c r="B18" s="71">
        <f>SUBTOTAL(109,B2:B16)</f>
        <v>4000000</v>
      </c>
      <c r="C18" s="73">
        <f>C19-500000</f>
        <v>3287770</v>
      </c>
    </row>
    <row r="19" spans="1:3" s="70" customFormat="1">
      <c r="A19" s="70" t="s">
        <v>2299</v>
      </c>
      <c r="B19" s="71">
        <f>B17+B18</f>
        <v>4500000</v>
      </c>
      <c r="C19" s="73">
        <v>3787770</v>
      </c>
    </row>
    <row r="20" spans="1:3" s="29" customFormat="1">
      <c r="A20" s="29" t="s">
        <v>2300</v>
      </c>
    </row>
    <row r="21" spans="1:3" s="29" customFormat="1">
      <c r="A21" s="29" t="s">
        <v>2301</v>
      </c>
    </row>
    <row r="22" spans="1:3" s="29" customFormat="1">
      <c r="A22" s="29" t="s">
        <v>2302</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56616-E3E8-43B6-BB9A-EF61B99A9DE0}">
  <dimension ref="A1:O29"/>
  <sheetViews>
    <sheetView zoomScale="90" zoomScaleNormal="90" workbookViewId="0">
      <pane xSplit="1" ySplit="1" topLeftCell="B2" activePane="bottomRight" state="frozen"/>
      <selection pane="topRight" activeCell="C31" sqref="C31"/>
      <selection pane="bottomLeft" activeCell="C31" sqref="C31"/>
      <selection pane="bottomRight" activeCell="M23" sqref="M23"/>
    </sheetView>
  </sheetViews>
  <sheetFormatPr defaultRowHeight="15"/>
  <cols>
    <col min="1" max="1" width="15.42578125" customWidth="1"/>
    <col min="2" max="2" width="12.5703125" customWidth="1"/>
    <col min="3" max="3" width="12.5703125" hidden="1" customWidth="1"/>
    <col min="4" max="4" width="12.5703125" customWidth="1"/>
    <col min="5" max="6" width="12.5703125" style="57" hidden="1" customWidth="1"/>
    <col min="7" max="7" width="12.5703125" style="57" customWidth="1"/>
    <col min="8" max="8" width="13.140625" style="57" hidden="1" customWidth="1"/>
    <col min="9" max="9" width="17.42578125" style="57" customWidth="1"/>
    <col min="10" max="10" width="16" customWidth="1"/>
    <col min="11" max="11" width="13.85546875" customWidth="1"/>
    <col min="12" max="12" width="9" hidden="1" customWidth="1"/>
    <col min="13" max="13" width="11.42578125" customWidth="1"/>
    <col min="14" max="14" width="16.5703125" customWidth="1"/>
    <col min="15" max="15" width="17.5703125" bestFit="1" customWidth="1"/>
  </cols>
  <sheetData>
    <row r="1" spans="1:15" s="68" customFormat="1" ht="29.1" customHeight="1">
      <c r="A1" s="66" t="s">
        <v>2294</v>
      </c>
      <c r="B1" s="75" t="s">
        <v>2303</v>
      </c>
      <c r="C1" s="75" t="s">
        <v>2304</v>
      </c>
      <c r="D1" s="75" t="s">
        <v>2305</v>
      </c>
      <c r="E1" s="67" t="s">
        <v>2306</v>
      </c>
      <c r="F1" s="67" t="s">
        <v>2307</v>
      </c>
      <c r="G1" s="74" t="s">
        <v>2308</v>
      </c>
      <c r="H1" s="74" t="s">
        <v>2309</v>
      </c>
      <c r="I1" s="76" t="s">
        <v>2310</v>
      </c>
      <c r="J1" s="76" t="s">
        <v>2311</v>
      </c>
      <c r="K1" s="77" t="s">
        <v>2312</v>
      </c>
      <c r="L1" s="123" t="s">
        <v>2313</v>
      </c>
      <c r="M1" s="124" t="s">
        <v>2314</v>
      </c>
      <c r="N1" s="147" t="s">
        <v>2315</v>
      </c>
      <c r="O1" s="66" t="s">
        <v>2316</v>
      </c>
    </row>
    <row r="2" spans="1:15">
      <c r="A2" t="s">
        <v>201</v>
      </c>
      <c r="B2" s="43">
        <v>380000</v>
      </c>
      <c r="C2" s="65">
        <f>Resumo[[#This Row],[PAI 2024 Solicitado]]/$B$18</f>
        <v>6.0995184590690206E-2</v>
      </c>
      <c r="D2" s="43">
        <v>250000</v>
      </c>
      <c r="E2" s="43">
        <v>512489.12</v>
      </c>
      <c r="F2" s="69">
        <f>Resumo[[#This Row],[PAI 2024 Concedido Rev]]/$E$18</f>
        <v>0.10475885918078977</v>
      </c>
      <c r="G2" s="27">
        <v>500663.56</v>
      </c>
      <c r="H2" s="69">
        <f>Resumo[[#This Row],[PAI 2024 Executado]]/$G$18</f>
        <v>0.10153403170482546</v>
      </c>
      <c r="I2" s="43">
        <f>SUMIFS(PAI2025Planejamento[ORÇAMENTO TOTAL (R$)
SOLICITADO],PAI2025Planejamento[UDVD],A2)-Assembleia[[#This Row],[ORÇAMENTO REVISADO]]</f>
        <v>383322</v>
      </c>
      <c r="J2" s="43">
        <f>SUMIFS(PAI2025Planejamento[ORÇAMENTO TOTAL (R$)
SOLICITADO],PAI2025Planejamento[UDVD],A2,PAI2025Planejamento[PRIORIDADE SOLICITADA],"A")-Assembleia[[#This Row],[ORÇAMENTO REVISADO]]</f>
        <v>306182</v>
      </c>
      <c r="K2" s="43">
        <f>SUMIFS(PAI2025Planejamento[ORÇAMENTO TOTAL (R$)
REVISADO],PAI2025Planejamento[UDVD],A2,PAI2025Planejamento[PRIORIDADE REVISADA],"A")-Assembleia[[#This Row],[ORÇAMENTO REVISADO]]</f>
        <v>326134</v>
      </c>
      <c r="L2" s="43">
        <v>300000</v>
      </c>
      <c r="M2" s="43">
        <v>360000</v>
      </c>
      <c r="N2" s="27">
        <v>93951.3</v>
      </c>
      <c r="O2" s="43" t="s">
        <v>2317</v>
      </c>
    </row>
    <row r="3" spans="1:15">
      <c r="A3" t="s">
        <v>402</v>
      </c>
      <c r="B3" s="43">
        <v>80000</v>
      </c>
      <c r="C3" s="65">
        <f>Resumo[[#This Row],[PAI 2024 Solicitado]]/$B$18</f>
        <v>1.2841091492776886E-2</v>
      </c>
      <c r="D3" s="43">
        <v>50000</v>
      </c>
      <c r="E3" s="43">
        <v>83124.14</v>
      </c>
      <c r="F3" s="69">
        <f>Resumo[[#This Row],[PAI 2024 Concedido Rev]]/$E$18</f>
        <v>1.6991560868227316E-2</v>
      </c>
      <c r="G3" s="28">
        <v>83971.41</v>
      </c>
      <c r="H3" s="69">
        <f>Resumo[[#This Row],[PAI 2024 Executado]]/$G$18</f>
        <v>1.702931167037381E-2</v>
      </c>
      <c r="I3" s="43">
        <f>SUMIFS(PAI2025Planejamento[ORÇAMENTO TOTAL (R$)
SOLICITADO],PAI2025Planejamento[UDVD],A3)-Assembleia[[#This Row],[ORÇAMENTO REVISADO]]</f>
        <v>296496</v>
      </c>
      <c r="J3" s="43">
        <f>SUMIFS(PAI2025Planejamento[ORÇAMENTO TOTAL (R$)
SOLICITADO],PAI2025Planejamento[UDVD],A3,PAI2025Planejamento[PRIORIDADE SOLICITADA],"A")-Assembleia[[#This Row],[ORÇAMENTO REVISADO]]</f>
        <v>272600</v>
      </c>
      <c r="K3" s="43">
        <f>SUMIFS(PAI2025Planejamento[ORÇAMENTO TOTAL (R$)
REVISADO],PAI2025Planejamento[UDVD],A3,PAI2025Planejamento[PRIORIDADE REVISADA],"A")-Assembleia[[#This Row],[ORÇAMENTO REVISADO]]</f>
        <v>153816</v>
      </c>
      <c r="L3" s="43">
        <v>160000</v>
      </c>
      <c r="M3" s="43">
        <v>120000</v>
      </c>
      <c r="N3" s="27">
        <v>33962.01</v>
      </c>
      <c r="O3" s="43" t="s">
        <v>2318</v>
      </c>
    </row>
    <row r="4" spans="1:15">
      <c r="A4" t="s">
        <v>339</v>
      </c>
      <c r="B4" s="43">
        <v>430000</v>
      </c>
      <c r="C4" s="65">
        <f>Resumo[[#This Row],[PAI 2024 Solicitado]]/$B$18</f>
        <v>6.9020866773675763E-2</v>
      </c>
      <c r="D4" s="43">
        <v>280000</v>
      </c>
      <c r="E4" s="43">
        <v>280780.65999999997</v>
      </c>
      <c r="F4" s="69">
        <f>Resumo[[#This Row],[PAI 2024 Concedido Rev]]/$E$18</f>
        <v>5.7394899664658654E-2</v>
      </c>
      <c r="G4" s="28">
        <v>311885.84000000003</v>
      </c>
      <c r="H4" s="69">
        <f>Resumo[[#This Row],[PAI 2024 Executado]]/$G$18</f>
        <v>6.3250113043669731E-2</v>
      </c>
      <c r="I4" s="43">
        <f>SUMIFS(PAI2025Planejamento[ORÇAMENTO TOTAL (R$)
SOLICITADO],PAI2025Planejamento[UDVD],A4)</f>
        <v>727835.50399999996</v>
      </c>
      <c r="J4" s="43">
        <f>SUMIFS(PAI2025Planejamento[ORÇAMENTO TOTAL (R$)
SOLICITADO],PAI2025Planejamento[UDVD],A4,PAI2025Planejamento[PRIORIDADE SOLICITADA],"A")</f>
        <v>667283.50399999996</v>
      </c>
      <c r="K4" s="43">
        <f>SUMIFS(PAI2025Planejamento[ORÇAMENTO TOTAL (R$)
REVISADO],PAI2025Planejamento[UDVD],A4,PAI2025Planejamento[PRIORIDADE REVISADA],"A")</f>
        <v>390466.67200000002</v>
      </c>
      <c r="L4" s="43">
        <v>300000</v>
      </c>
      <c r="M4" s="43">
        <v>260000</v>
      </c>
      <c r="N4" s="27">
        <v>66620.13</v>
      </c>
      <c r="O4" s="43"/>
    </row>
    <row r="5" spans="1:15">
      <c r="A5" t="s">
        <v>107</v>
      </c>
      <c r="B5" s="43">
        <v>1570000</v>
      </c>
      <c r="C5" s="65">
        <f>Resumo[[#This Row],[PAI 2024 Solicitado]]/$B$18</f>
        <v>0.2520064205457464</v>
      </c>
      <c r="D5" s="43">
        <v>1000000</v>
      </c>
      <c r="E5" s="43">
        <v>1171227.02</v>
      </c>
      <c r="F5" s="69">
        <f>Resumo[[#This Row],[PAI 2024 Concedido Rev]]/$E$18</f>
        <v>0.23941270491150338</v>
      </c>
      <c r="G5" s="28">
        <v>1264360.0900000001</v>
      </c>
      <c r="H5" s="69">
        <f>Resumo[[#This Row],[PAI 2024 Executado]]/$G$18</f>
        <v>0.25641086693901988</v>
      </c>
      <c r="I5" s="43">
        <f>SUMIFS(PAI2025Planejamento[ORÇAMENTO TOTAL (R$)
SOLICITADO],PAI2025Planejamento[UDVD],A5)-Assembleia[[#This Row],[ORÇAMENTO REVISADO]]</f>
        <v>3490168</v>
      </c>
      <c r="J5" s="43">
        <f>SUMIFS(PAI2025Planejamento[ORÇAMENTO TOTAL (R$)
SOLICITADO],PAI2025Planejamento[UDVD],A5,PAI2025Planejamento[PRIORIDADE SOLICITADA],"A")-Assembleia[[#This Row],[ORÇAMENTO REVISADO]]</f>
        <v>2035876</v>
      </c>
      <c r="K5" s="43">
        <f>SUMIFS(PAI2025Planejamento[ORÇAMENTO TOTAL (R$)
REVISADO],PAI2025Planejamento[UDVD],A5,PAI2025Planejamento[PRIORIDADE REVISADA],"A")-Assembleia[[#This Row],[ORÇAMENTO REVISADO]]</f>
        <v>1752198</v>
      </c>
      <c r="L5" s="43">
        <v>1400000</v>
      </c>
      <c r="M5" s="43">
        <f>Resumo[[#This Row],[PAI 2024 Concedido]]</f>
        <v>1000000</v>
      </c>
      <c r="N5" s="27">
        <v>400236.84</v>
      </c>
      <c r="O5" s="43"/>
    </row>
    <row r="6" spans="1:15">
      <c r="A6" t="s">
        <v>165</v>
      </c>
      <c r="B6" s="43">
        <v>560000</v>
      </c>
      <c r="C6" s="65">
        <f>Resumo[[#This Row],[PAI 2024 Solicitado]]/$B$18</f>
        <v>8.98876404494382E-2</v>
      </c>
      <c r="D6" s="43">
        <v>360000</v>
      </c>
      <c r="E6" s="43">
        <v>360000</v>
      </c>
      <c r="F6" s="69">
        <f>Resumo[[#This Row],[PAI 2024 Concedido Rev]]/$E$18</f>
        <v>7.3588273064380982E-2</v>
      </c>
      <c r="G6" s="28">
        <v>298162.15000000002</v>
      </c>
      <c r="H6" s="69">
        <f>Resumo[[#This Row],[PAI 2024 Executado]]/$G$18</f>
        <v>6.0466963466002853E-2</v>
      </c>
      <c r="I6" s="43">
        <f>SUMIFS(PAI2025Planejamento[ORÇAMENTO TOTAL (R$)
SOLICITADO],PAI2025Planejamento[UDVD],A6)-Assembleia[[#This Row],[ORÇAMENTO REVISADO]]</f>
        <v>869710</v>
      </c>
      <c r="J6" s="43">
        <f>SUMIFS(PAI2025Planejamento[ORÇAMENTO TOTAL (R$)
SOLICITADO],PAI2025Planejamento[UDVD],A6,PAI2025Planejamento[PRIORIDADE SOLICITADA],"A")-Assembleia[[#This Row],[ORÇAMENTO REVISADO]]</f>
        <v>715430</v>
      </c>
      <c r="K6" s="43">
        <f>SUMIFS(PAI2025Planejamento[ORÇAMENTO TOTAL (R$)
REVISADO],PAI2025Planejamento[UDVD],A6,PAI2025Planejamento[PRIORIDADE REVISADA],"A")-Assembleia[[#This Row],[ORÇAMENTO REVISADO]]</f>
        <v>441670</v>
      </c>
      <c r="L6" s="43">
        <v>280000</v>
      </c>
      <c r="M6" s="43">
        <v>220000</v>
      </c>
      <c r="N6" s="27">
        <v>97318.48</v>
      </c>
      <c r="O6" s="43"/>
    </row>
    <row r="7" spans="1:15">
      <c r="A7" t="s">
        <v>625</v>
      </c>
      <c r="B7" s="43">
        <v>40000</v>
      </c>
      <c r="C7" s="65">
        <f>Resumo[[#This Row],[PAI 2024 Solicitado]]/$B$18</f>
        <v>6.420545746388443E-3</v>
      </c>
      <c r="D7" s="43">
        <v>30000</v>
      </c>
      <c r="E7" s="43">
        <v>37472.14</v>
      </c>
      <c r="F7" s="69">
        <f>Resumo[[#This Row],[PAI 2024 Concedido Rev]]/$E$18</f>
        <v>7.6597501961853144E-3</v>
      </c>
      <c r="G7" s="28">
        <v>154241.84</v>
      </c>
      <c r="H7" s="69">
        <f>Resumo[[#This Row],[PAI 2024 Executado]]/$G$18</f>
        <v>3.1280079326665225E-2</v>
      </c>
      <c r="I7" s="43">
        <f>SUMIFS(PAI2025Planejamento[ORÇAMENTO TOTAL (R$)
SOLICITADO],PAI2025Planejamento[UDVD],A7)-Assembleia[[#This Row],[ORÇAMENTO REVISADO]]</f>
        <v>75980</v>
      </c>
      <c r="J7" s="43">
        <f>SUMIFS(PAI2025Planejamento[ORÇAMENTO TOTAL (R$)
SOLICITADO],PAI2025Planejamento[UDVD],A7,PAI2025Planejamento[PRIORIDADE SOLICITADA],"A")-Assembleia[[#This Row],[ORÇAMENTO REVISADO]]</f>
        <v>75980</v>
      </c>
      <c r="K7" s="43">
        <f>SUMIFS(PAI2025Planejamento[ORÇAMENTO TOTAL (R$)
REVISADO],PAI2025Planejamento[UDVD],A7,PAI2025Planejamento[PRIORIDADE REVISADA],"A")-Assembleia[[#This Row],[ORÇAMENTO REVISADO]]</f>
        <v>57304</v>
      </c>
      <c r="L7" s="43">
        <v>0</v>
      </c>
      <c r="M7" s="43">
        <v>20000</v>
      </c>
      <c r="N7" s="27">
        <v>158661.01</v>
      </c>
      <c r="O7" s="43"/>
    </row>
    <row r="8" spans="1:15">
      <c r="A8" t="s">
        <v>195</v>
      </c>
      <c r="B8" s="43">
        <v>330000</v>
      </c>
      <c r="C8" s="65">
        <f>Resumo[[#This Row],[PAI 2024 Solicitado]]/$B$18</f>
        <v>5.2969502407704656E-2</v>
      </c>
      <c r="D8" s="43">
        <v>220000</v>
      </c>
      <c r="E8" s="43">
        <f>0.51*744840+230</f>
        <v>380098.4</v>
      </c>
      <c r="F8" s="69">
        <f>Resumo[[#This Row],[PAI 2024 Concedido Rev]]/$E$18</f>
        <v>7.7696624584817534E-2</v>
      </c>
      <c r="G8" s="28">
        <v>314645.38</v>
      </c>
      <c r="H8" s="69">
        <f>Resumo[[#This Row],[PAI 2024 Executado]]/$G$18</f>
        <v>6.3809744788889483E-2</v>
      </c>
      <c r="I8" s="43">
        <f>SUMIFS(PAI2025Planejamento[ORÇAMENTO TOTAL (R$)
SOLICITADO],PAI2025Planejamento[UDVD],A8)-Assembleia[[#This Row],[ORÇAMENTO REVISADO]]-Assembleia!D9</f>
        <v>426384</v>
      </c>
      <c r="J8" s="43">
        <f>SUMIFS(PAI2025Planejamento[ORÇAMENTO TOTAL (R$)
SOLICITADO],PAI2025Planejamento[UDVD],A8,PAI2025Planejamento[PRIORIDADE SOLICITADA],"A")-Assembleia[[#This Row],[ORÇAMENTO REVISADO]]-Assembleia!D9</f>
        <v>328016</v>
      </c>
      <c r="K8" s="43">
        <f>SUMIFS(PAI2025Planejamento[ORÇAMENTO TOTAL (R$)
REVISADO],PAI2025Planejamento[UDVD],A8,PAI2025Planejamento[PRIORIDADE REVISADA],"A")-Assembleia[[#This Row],[ORÇAMENTO REVISADO]]-Assembleia!D9</f>
        <v>327916</v>
      </c>
      <c r="L8" s="43">
        <v>260000</v>
      </c>
      <c r="M8" s="43">
        <v>220000</v>
      </c>
      <c r="N8" s="27"/>
      <c r="O8" s="43"/>
    </row>
    <row r="9" spans="1:15">
      <c r="A9" t="s">
        <v>274</v>
      </c>
      <c r="B9" s="43">
        <v>370000</v>
      </c>
      <c r="C9" s="65">
        <f>Resumo[[#This Row],[PAI 2024 Solicitado]]/$B$18</f>
        <v>5.93900481540931E-2</v>
      </c>
      <c r="D9" s="43">
        <v>230000</v>
      </c>
      <c r="E9" s="43">
        <v>364741</v>
      </c>
      <c r="F9" s="69">
        <f>Resumo[[#This Row],[PAI 2024 Concedido Rev]]/$E$18</f>
        <v>7.4557389738264965E-2</v>
      </c>
      <c r="G9" s="28">
        <v>330750.73</v>
      </c>
      <c r="H9" s="69">
        <f>Resumo[[#This Row],[PAI 2024 Executado]]/$G$18</f>
        <v>6.7075892454034725E-2</v>
      </c>
      <c r="I9" s="43">
        <f>SUMIFS(PAI2025Planejamento[ORÇAMENTO TOTAL (R$)
SOLICITADO],PAI2025Planejamento[UDVD],A9)-Assembleia!D10</f>
        <v>658528</v>
      </c>
      <c r="J9" s="43">
        <f>SUMIFS(PAI2025Planejamento[ORÇAMENTO TOTAL (R$)
SOLICITADO],PAI2025Planejamento[UDVD],A9,PAI2025Planejamento[PRIORIDADE SOLICITADA],"A")-Assembleia!D10</f>
        <v>574428</v>
      </c>
      <c r="K9" s="43">
        <f>SUMIFS(PAI2025Planejamento[ORÇAMENTO TOTAL (R$)
REVISADO],PAI2025Planejamento[UDVD],A9,PAI2025Planejamento[PRIORIDADE REVISADA],"A")-Assembleia!D10</f>
        <v>392826</v>
      </c>
      <c r="L9" s="43">
        <v>400000</v>
      </c>
      <c r="M9" s="43">
        <v>230000</v>
      </c>
      <c r="N9" s="27"/>
      <c r="O9" s="43"/>
    </row>
    <row r="10" spans="1:15">
      <c r="A10" t="s">
        <v>1604</v>
      </c>
      <c r="B10" s="43">
        <v>80000</v>
      </c>
      <c r="C10" s="65">
        <f>Resumo[[#This Row],[PAI 2024 Solicitado]]/$B$18</f>
        <v>1.2841091492776886E-2</v>
      </c>
      <c r="D10" s="43">
        <v>50000</v>
      </c>
      <c r="E10" s="43">
        <v>54183.13</v>
      </c>
      <c r="F10" s="69">
        <f>Resumo[[#This Row],[PAI 2024 Concedido Rev]]/$E$18</f>
        <v>1.1075674905341259E-2</v>
      </c>
      <c r="G10" s="28">
        <v>55435.519999999997</v>
      </c>
      <c r="H10" s="69">
        <f>Resumo[[#This Row],[PAI 2024 Executado]]/$G$18</f>
        <v>1.1242263857296675E-2</v>
      </c>
      <c r="I10" s="43">
        <f>SUMIFS(PAI2025Planejamento[ORÇAMENTO TOTAL (R$)
SOLICITADO],PAI2025Planejamento[UDVD],A10)</f>
        <v>121336</v>
      </c>
      <c r="J10" s="43">
        <f>SUMIFS(PAI2025Planejamento[ORÇAMENTO TOTAL (R$)
SOLICITADO],PAI2025Planejamento[UDVD],A10,PAI2025Planejamento[PRIORIDADE SOLICITADA],"A")</f>
        <v>79808</v>
      </c>
      <c r="K10" s="43">
        <f>SUMIFS(PAI2025Planejamento[ORÇAMENTO TOTAL (R$)
REVISADO],PAI2025Planejamento[UDVD],A10,PAI2025Planejamento[PRIORIDADE REVISADA],"A")</f>
        <v>53476</v>
      </c>
      <c r="L10" s="43">
        <v>50000</v>
      </c>
      <c r="M10" s="43">
        <v>40000</v>
      </c>
      <c r="N10" s="27">
        <v>0</v>
      </c>
      <c r="O10" s="43"/>
    </row>
    <row r="11" spans="1:15">
      <c r="A11" t="s">
        <v>126</v>
      </c>
      <c r="B11" s="43">
        <v>760000</v>
      </c>
      <c r="C11" s="65">
        <f>Resumo[[#This Row],[PAI 2024 Solicitado]]/$B$18</f>
        <v>0.12199036918138041</v>
      </c>
      <c r="D11" s="43">
        <v>490000</v>
      </c>
      <c r="E11" s="43">
        <v>490000</v>
      </c>
      <c r="F11" s="69">
        <f>Resumo[[#This Row],[PAI 2024 Concedido Rev]]/$E$18</f>
        <v>0.10016181611540745</v>
      </c>
      <c r="G11" s="28">
        <v>488191.09</v>
      </c>
      <c r="H11" s="69">
        <f>Resumo[[#This Row],[PAI 2024 Executado]]/$G$18</f>
        <v>9.9004628197972511E-2</v>
      </c>
      <c r="I11" s="43">
        <f>SUMIFS(PAI2025Planejamento[ORÇAMENTO TOTAL (R$)
SOLICITADO],PAI2025Planejamento[UDVD],A11)-Assembleia!D12</f>
        <v>1461716</v>
      </c>
      <c r="J11" s="43">
        <f>SUMIFS(PAI2025Planejamento[ORÇAMENTO TOTAL (R$)
SOLICITADO],PAI2025Planejamento[UDVD],A11,PAI2025Planejamento[PRIORIDADE SOLICITADA],"A")-Assembleia!D12</f>
        <v>1237778</v>
      </c>
      <c r="K11" s="43">
        <f>SUMIFS(PAI2025Planejamento[ORÇAMENTO TOTAL (R$)
REVISADO],PAI2025Planejamento[UDVD],A11,PAI2025Planejamento[PRIORIDADE REVISADA],"A")-Assembleia!D12</f>
        <v>862634</v>
      </c>
      <c r="L11" s="43">
        <v>600000</v>
      </c>
      <c r="M11" s="43">
        <v>520000</v>
      </c>
      <c r="N11" s="27">
        <v>330605.37</v>
      </c>
      <c r="O11" s="43"/>
    </row>
    <row r="12" spans="1:15">
      <c r="A12" t="s">
        <v>216</v>
      </c>
      <c r="B12" s="43">
        <v>980000</v>
      </c>
      <c r="C12" s="65">
        <f>Resumo[[#This Row],[PAI 2024 Solicitado]]/$B$18</f>
        <v>0.15730337078651685</v>
      </c>
      <c r="D12" s="43">
        <v>630000</v>
      </c>
      <c r="E12" s="43">
        <v>630000</v>
      </c>
      <c r="F12" s="69">
        <f>Resumo[[#This Row],[PAI 2024 Concedido Rev]]/$E$18</f>
        <v>0.12877947786266672</v>
      </c>
      <c r="G12" s="28">
        <v>626156</v>
      </c>
      <c r="H12" s="69">
        <f>Resumo[[#This Row],[PAI 2024 Executado]]/$G$18</f>
        <v>0.12698376361995806</v>
      </c>
      <c r="I12" s="43">
        <f>SUMIFS(PAI2025Planejamento[ORÇAMENTO TOTAL (R$)
SOLICITADO],PAI2025Planejamento[UDVD],A12)-Assembleia!D13</f>
        <v>2174047</v>
      </c>
      <c r="J12" s="43">
        <f>SUMIFS(PAI2025Planejamento[ORÇAMENTO TOTAL (R$)
SOLICITADO],PAI2025Planejamento[UDVD],A12,PAI2025Planejamento[PRIORIDADE SOLICITADA],"A")-Assembleia!D13</f>
        <v>1409085</v>
      </c>
      <c r="K12" s="43">
        <f>SUMIFS(PAI2025Planejamento[ORÇAMENTO TOTAL (R$)
REVISADO],PAI2025Planejamento[UDVD],A12,PAI2025Planejamento[PRIORIDADE REVISADA],"A")-Assembleia!D13</f>
        <v>891348</v>
      </c>
      <c r="L12" s="43">
        <v>700000</v>
      </c>
      <c r="M12" s="43">
        <v>630000</v>
      </c>
      <c r="N12" s="27">
        <v>193077.49</v>
      </c>
      <c r="O12" s="43"/>
    </row>
    <row r="13" spans="1:15">
      <c r="A13" t="s">
        <v>264</v>
      </c>
      <c r="B13" s="43">
        <v>50000</v>
      </c>
      <c r="C13" s="65">
        <f>Resumo[[#This Row],[PAI 2024 Solicitado]]/$B$18</f>
        <v>8.0256821829855531E-3</v>
      </c>
      <c r="D13" s="43">
        <v>30000</v>
      </c>
      <c r="E13" s="43">
        <v>47968.21</v>
      </c>
      <c r="F13" s="69">
        <f>Resumo[[#This Row],[PAI 2024 Concedido Rev]]/$E$18</f>
        <v>9.8052714885821408E-3</v>
      </c>
      <c r="G13" s="28">
        <v>47968.21</v>
      </c>
      <c r="H13" s="69">
        <f>Resumo[[#This Row],[PAI 2024 Executado]]/$G$18</f>
        <v>9.7279014173983942E-3</v>
      </c>
      <c r="I13" s="43">
        <f>SUMIFS(PAI2025Planejamento[ORÇAMENTO TOTAL (R$)
SOLICITADO],PAI2025Planejamento[UDVD],A13)</f>
        <v>205610</v>
      </c>
      <c r="J13" s="43">
        <f>SUMIFS(PAI2025Planejamento[ORÇAMENTO TOTAL (R$)
SOLICITADO],PAI2025Planejamento[UDVD],A13,PAI2025Planejamento[PRIORIDADE SOLICITADA],"A")</f>
        <v>133690</v>
      </c>
      <c r="K13" s="43">
        <f>SUMIFS(PAI2025Planejamento[ORÇAMENTO TOTAL (R$)
REVISADO],PAI2025Planejamento[UDVD],A13,PAI2025Planejamento[PRIORIDADE REVISADA],"A")</f>
        <v>95584</v>
      </c>
      <c r="L13" s="43">
        <v>80000</v>
      </c>
      <c r="M13" s="43">
        <v>40000</v>
      </c>
      <c r="N13" s="27">
        <v>14352.71</v>
      </c>
      <c r="O13" s="43"/>
    </row>
    <row r="14" spans="1:15">
      <c r="A14" t="s">
        <v>1505</v>
      </c>
      <c r="B14" s="43">
        <v>90000</v>
      </c>
      <c r="C14" s="65">
        <f>Resumo[[#This Row],[PAI 2024 Solicitado]]/$B$18</f>
        <v>1.4446227929373997E-2</v>
      </c>
      <c r="D14" s="43">
        <v>50000</v>
      </c>
      <c r="E14" s="43">
        <v>50000</v>
      </c>
      <c r="F14" s="69">
        <f>Resumo[[#This Row],[PAI 2024 Concedido Rev]]/$E$18</f>
        <v>1.0220593481164025E-2</v>
      </c>
      <c r="G14" s="28">
        <v>32655.48</v>
      </c>
      <c r="H14" s="69">
        <f>Resumo[[#This Row],[PAI 2024 Executado]]/$G$18</f>
        <v>6.6224962361077239E-3</v>
      </c>
      <c r="I14" s="43">
        <f>SUMIFS(PAI2025Planejamento[ORÇAMENTO TOTAL (R$)
SOLICITADO],PAI2025Planejamento[UDVD],A14)</f>
        <v>612538</v>
      </c>
      <c r="J14" s="43">
        <f>SUMIFS(PAI2025Planejamento[ORÇAMENTO TOTAL (R$)
SOLICITADO],PAI2025Planejamento[UDVD],A14,PAI2025Planejamento[PRIORIDADE SOLICITADA],"A")</f>
        <v>203928</v>
      </c>
      <c r="K14" s="43">
        <f>SUMIFS(PAI2025Planejamento[ORÇAMENTO TOTAL (R$)
REVISADO],PAI2025Planejamento[UDVD],A14,PAI2025Planejamento[PRIORIDADE REVISADA],"A")</f>
        <v>0</v>
      </c>
      <c r="L14" s="43">
        <v>50000</v>
      </c>
      <c r="M14" s="43">
        <v>40000</v>
      </c>
      <c r="N14" s="27">
        <v>0</v>
      </c>
      <c r="O14" s="43"/>
    </row>
    <row r="15" spans="1:15">
      <c r="A15" t="s">
        <v>434</v>
      </c>
      <c r="B15" s="43">
        <v>90000</v>
      </c>
      <c r="C15" s="65">
        <f>Resumo[[#This Row],[PAI 2024 Solicitado]]/$B$18</f>
        <v>1.4446227929373997E-2</v>
      </c>
      <c r="D15" s="43">
        <v>60000</v>
      </c>
      <c r="E15" s="43">
        <v>85000</v>
      </c>
      <c r="F15" s="69">
        <f>Resumo[[#This Row],[PAI 2024 Concedido Rev]]/$E$18</f>
        <v>1.7375008917978843E-2</v>
      </c>
      <c r="G15" s="28">
        <v>80819.759999999995</v>
      </c>
      <c r="H15" s="69">
        <f>Resumo[[#This Row],[PAI 2024 Executado]]/$G$18</f>
        <v>1.6390160438711346E-2</v>
      </c>
      <c r="I15" s="43">
        <f>SUMIFS(PAI2025Planejamento[ORÇAMENTO TOTAL (R$)
SOLICITADO],PAI2025Planejamento[UDVD],A15)</f>
        <v>417890</v>
      </c>
      <c r="J15" s="43">
        <f>SUMIFS(PAI2025Planejamento[ORÇAMENTO TOTAL (R$)
SOLICITADO],PAI2025Planejamento[UDVD],A15,PAI2025Planejamento[PRIORIDADE SOLICITADA],"A")</f>
        <v>248588</v>
      </c>
      <c r="K15" s="43">
        <f>SUMIFS(PAI2025Planejamento[ORÇAMENTO TOTAL (R$)
REVISADO],PAI2025Planejamento[UDVD],A15,PAI2025Planejamento[PRIORIDADE REVISADA],"A")</f>
        <v>128412</v>
      </c>
      <c r="L15" s="43">
        <v>120000</v>
      </c>
      <c r="M15" s="43">
        <v>60000</v>
      </c>
      <c r="N15" s="27">
        <v>34419.96</v>
      </c>
      <c r="O15" s="43"/>
    </row>
    <row r="16" spans="1:15">
      <c r="A16" t="s">
        <v>176</v>
      </c>
      <c r="B16" s="43">
        <v>420000</v>
      </c>
      <c r="C16" s="65">
        <f>Resumo[[#This Row],[PAI 2024 Solicitado]]/$B$18</f>
        <v>6.741573033707865E-2</v>
      </c>
      <c r="D16" s="43">
        <v>270000</v>
      </c>
      <c r="E16" s="43">
        <v>345000</v>
      </c>
      <c r="F16" s="69">
        <f>Resumo[[#This Row],[PAI 2024 Concedido Rev]]/$E$18</f>
        <v>7.0522095020031775E-2</v>
      </c>
      <c r="G16" s="28">
        <v>341085.55</v>
      </c>
      <c r="H16" s="69">
        <f>Resumo[[#This Row],[PAI 2024 Executado]]/$G$18</f>
        <v>6.9171782839074269E-2</v>
      </c>
      <c r="I16" s="43">
        <f>SUMIFS(PAI2025Planejamento[ORÇAMENTO TOTAL (R$)
SOLICITADO],PAI2025Planejamento[UDVD],A16)-Assembleia!D17</f>
        <v>950591</v>
      </c>
      <c r="J16" s="43">
        <f>SUMIFS(PAI2025Planejamento[ORÇAMENTO TOTAL (R$)
SOLICITADO],PAI2025Planejamento[UDVD],A16,PAI2025Planejamento[PRIORIDADE SOLICITADA],"A")-Assembleia!D17</f>
        <v>768703</v>
      </c>
      <c r="K16" s="43">
        <f>SUMIFS(PAI2025Planejamento[ORÇAMENTO TOTAL (R$)
REVISADO],PAI2025Planejamento[UDVD],A16,PAI2025Planejamento[PRIORIDADE REVISADA],"A")-Assembleia!D17</f>
        <v>417368</v>
      </c>
      <c r="L16" s="43">
        <v>300000</v>
      </c>
      <c r="M16" s="43">
        <v>240000</v>
      </c>
      <c r="N16" s="27">
        <v>82998.55</v>
      </c>
      <c r="O16" s="43"/>
    </row>
    <row r="17" spans="1:15" s="81" customFormat="1">
      <c r="A17" s="81" t="s">
        <v>2297</v>
      </c>
      <c r="B17" s="82"/>
      <c r="C17" s="82"/>
      <c r="D17" s="82"/>
      <c r="E17" s="82"/>
      <c r="F17" s="82"/>
      <c r="G17" s="28"/>
      <c r="H17" s="82"/>
      <c r="I17" s="82">
        <f>SUMIFS(PAI2025Planejamento[ORÇAMENTO TOTAL (R$)
SOLICITADO],PAI2025Planejamento[MACROTEMA],A17)</f>
        <v>515388</v>
      </c>
      <c r="J17" s="82">
        <f>SUMIFS(PAI2025Planejamento[ORÇAMENTO TOTAL (R$)
SOLICITADO],PAI2025Planejamento[MACROTEMA],A17,PAI2025Planejamento[PRIORIDADE SOLICITADA],"A")</f>
        <v>515388</v>
      </c>
      <c r="K17" s="82">
        <f>SUMIFS(PAI2025Planejamento[ORÇAMENTO TOTAL (R$)
REVISADO],PAI2025Planejamento[MACROTEMA],A17,PAI2025Planejamento[PRIORIDADE REVISADA],"A")</f>
        <v>515388</v>
      </c>
      <c r="L17" s="82">
        <f>Resumo[[#This Row],[PAI 2025 Revisado A]]</f>
        <v>515388</v>
      </c>
      <c r="M17" s="82">
        <v>500000</v>
      </c>
      <c r="N17" s="82"/>
      <c r="O17" s="82"/>
    </row>
    <row r="18" spans="1:15" s="70" customFormat="1">
      <c r="A18" s="70" t="s">
        <v>2298</v>
      </c>
      <c r="B18" s="71">
        <f>SUBTOTAL(109,B2:B16)</f>
        <v>6230000</v>
      </c>
      <c r="C18" s="72">
        <f>SUBTOTAL(109,C2:C16)</f>
        <v>1</v>
      </c>
      <c r="D18" s="73">
        <f>SUM(D2:D16)</f>
        <v>4000000</v>
      </c>
      <c r="E18" s="71">
        <f t="shared" ref="E18:I18" si="0">SUBTOTAL(109,E2:E16)</f>
        <v>4892083.8199999994</v>
      </c>
      <c r="F18" s="72">
        <f t="shared" si="0"/>
        <v>1</v>
      </c>
      <c r="G18" s="71">
        <f t="shared" si="0"/>
        <v>4930992.6099999994</v>
      </c>
      <c r="H18" s="72">
        <f t="shared" si="0"/>
        <v>1.0000000000000002</v>
      </c>
      <c r="I18" s="71">
        <f t="shared" si="0"/>
        <v>12872151.504000001</v>
      </c>
      <c r="J18" s="71">
        <f>SUBTOTAL(109,J2:J16)</f>
        <v>9057375.5040000007</v>
      </c>
      <c r="K18" s="71">
        <f>SUBTOTAL(109,K2:K16)</f>
        <v>6291152.6720000003</v>
      </c>
      <c r="L18" s="71">
        <f>SUM(L2:L16)</f>
        <v>5000000</v>
      </c>
      <c r="M18" s="71">
        <f>SUBTOTAL(109,M2:M16)</f>
        <v>4000000</v>
      </c>
      <c r="N18" s="71">
        <f>SUBTOTAL(109,N2:N16)</f>
        <v>1506203.85</v>
      </c>
    </row>
    <row r="19" spans="1:15" s="70" customFormat="1">
      <c r="A19" s="70" t="s">
        <v>2299</v>
      </c>
      <c r="B19" s="71">
        <f>B17+B18</f>
        <v>6230000</v>
      </c>
      <c r="C19" s="72"/>
      <c r="D19" s="72"/>
      <c r="E19" s="71">
        <f>E17+E18</f>
        <v>4892083.8199999994</v>
      </c>
      <c r="F19" s="72"/>
      <c r="G19" s="71">
        <f>G17+G18</f>
        <v>4930992.6099999994</v>
      </c>
      <c r="H19" s="72"/>
      <c r="I19" s="71">
        <f>I17+I18</f>
        <v>13387539.504000001</v>
      </c>
      <c r="J19" s="71">
        <f>J17+J18</f>
        <v>9572763.5040000007</v>
      </c>
      <c r="K19" s="71">
        <f>K17+K18</f>
        <v>6806540.6720000003</v>
      </c>
      <c r="L19" s="71">
        <f>L18+L17</f>
        <v>5515388</v>
      </c>
      <c r="M19" s="71">
        <f>M17+M18</f>
        <v>4500000</v>
      </c>
      <c r="N19" s="71">
        <f>N17+N18</f>
        <v>1506203.85</v>
      </c>
    </row>
    <row r="20" spans="1:15" s="29" customFormat="1">
      <c r="A20" s="29" t="s">
        <v>2300</v>
      </c>
      <c r="B20" s="29">
        <v>5.05</v>
      </c>
      <c r="C20" s="125">
        <f>B18/B20</f>
        <v>1233663.3663366337</v>
      </c>
      <c r="J20" s="141"/>
      <c r="K20" s="29">
        <v>5.4</v>
      </c>
    </row>
    <row r="21" spans="1:15" s="29" customFormat="1">
      <c r="A21" s="29" t="s">
        <v>2301</v>
      </c>
      <c r="B21" s="29">
        <v>225</v>
      </c>
      <c r="E21" s="126"/>
      <c r="G21" s="126"/>
      <c r="K21" s="29">
        <v>278</v>
      </c>
    </row>
    <row r="22" spans="1:15" s="29" customFormat="1">
      <c r="A22" s="29" t="s">
        <v>2302</v>
      </c>
      <c r="B22" s="29">
        <v>325</v>
      </c>
      <c r="K22" s="29">
        <v>378</v>
      </c>
    </row>
    <row r="23" spans="1:15">
      <c r="E23"/>
      <c r="F23"/>
      <c r="G23"/>
      <c r="H23"/>
      <c r="I23"/>
    </row>
    <row r="24" spans="1:15">
      <c r="E24"/>
      <c r="F24"/>
      <c r="G24"/>
      <c r="H24"/>
      <c r="I24"/>
    </row>
    <row r="25" spans="1:15">
      <c r="E25"/>
      <c r="F25"/>
      <c r="G25"/>
      <c r="H25"/>
      <c r="I25"/>
    </row>
    <row r="26" spans="1:15">
      <c r="E26"/>
      <c r="F26"/>
      <c r="G26"/>
      <c r="H26"/>
      <c r="I26"/>
    </row>
    <row r="27" spans="1:15">
      <c r="E27"/>
      <c r="F27"/>
      <c r="G27"/>
      <c r="H27"/>
      <c r="I27"/>
    </row>
    <row r="28" spans="1:15">
      <c r="E28"/>
      <c r="F28"/>
      <c r="G28"/>
      <c r="H28"/>
      <c r="I28"/>
    </row>
    <row r="29" spans="1:15">
      <c r="E29"/>
      <c r="F29"/>
      <c r="G29"/>
      <c r="H29"/>
      <c r="I29"/>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64960-8036-4CDC-AB4E-8CB4E19A5E00}">
  <dimension ref="A1:D18"/>
  <sheetViews>
    <sheetView workbookViewId="0">
      <selection activeCell="B18" sqref="B18"/>
    </sheetView>
  </sheetViews>
  <sheetFormatPr defaultRowHeight="15"/>
  <cols>
    <col min="1" max="1" width="35.140625" customWidth="1"/>
    <col min="2" max="3" width="25.85546875" customWidth="1"/>
    <col min="4" max="4" width="22.85546875" hidden="1" customWidth="1"/>
  </cols>
  <sheetData>
    <row r="1" spans="1:4">
      <c r="A1" t="s">
        <v>47</v>
      </c>
      <c r="B1" t="s">
        <v>2319</v>
      </c>
      <c r="C1" t="s">
        <v>2320</v>
      </c>
      <c r="D1" t="s">
        <v>2321</v>
      </c>
    </row>
    <row r="2" spans="1:4">
      <c r="A2" s="127" t="s">
        <v>201</v>
      </c>
      <c r="B2">
        <f>SUMIFS(PAI2025Planejamento[QTDE PCPDs REVISADA],PAI2025Planejamento[UDVD],A2,PAI2025Planejamento[MACROTEMA],"ASSEMBLEIA")</f>
        <v>5</v>
      </c>
      <c r="C2" s="128" t="s">
        <v>2322</v>
      </c>
      <c r="D2" s="79">
        <f>SUMIFS(PAI2025Planejamento[ORÇAMENTO TOTAL (R$)
REVISADO],PAI2025Planejamento[UDVD],A2,PAI2025Planejamento[MACROTEMA],"ASSEMBLEIA")</f>
        <v>136735</v>
      </c>
    </row>
    <row r="3" spans="1:4">
      <c r="A3" s="127" t="s">
        <v>402</v>
      </c>
      <c r="B3">
        <f>SUMIFS(PAI2025Planejamento[QTDE PCPDs REVISADA],PAI2025Planejamento[UDVD],A3,PAI2025Planejamento[MACROTEMA],"ASSEMBLEIA")</f>
        <v>1</v>
      </c>
      <c r="C3">
        <v>5</v>
      </c>
      <c r="D3" s="79">
        <f>SUMIFS(PAI2025Planejamento[ORÇAMENTO TOTAL (R$)
REVISADO],PAI2025Planejamento[UDVD],A3,PAI2025Planejamento[MACROTEMA],"ASSEMBLEIA")</f>
        <v>24505</v>
      </c>
    </row>
    <row r="4" spans="1:4">
      <c r="A4" s="127" t="s">
        <v>339</v>
      </c>
      <c r="B4">
        <f>SUMIFS(PAI2025Planejamento[QTDE PCPDs REVISADA],PAI2025Planejamento[UDVD],A4,PAI2025Planejamento[MACROTEMA],"ASSEMBLEIA")</f>
        <v>0</v>
      </c>
      <c r="C4">
        <v>0</v>
      </c>
      <c r="D4" s="79">
        <f>SUMIFS(PAI2025Planejamento[ORÇAMENTO TOTAL (R$)
REVISADO],PAI2025Planejamento[UDVD],A4,PAI2025Planejamento[MACROTEMA],"ASSEMBLEIA")</f>
        <v>0</v>
      </c>
    </row>
    <row r="5" spans="1:4">
      <c r="A5" s="127" t="s">
        <v>107</v>
      </c>
      <c r="B5">
        <f>SUMIFS(PAI2025Planejamento[QTDE PCPDs REVISADA],PAI2025Planejamento[UDVD],A5,PAI2025Planejamento[MACROTEMA],"ASSEMBLEIA")</f>
        <v>1</v>
      </c>
      <c r="C5">
        <v>11</v>
      </c>
      <c r="D5" s="79">
        <f>SUMIFS(PAI2025Planejamento[ORÇAMENTO TOTAL (R$)
REVISADO],PAI2025Planejamento[UDVD],A5,PAI2025Planejamento[MACROTEMA],"ASSEMBLEIA")</f>
        <v>36685</v>
      </c>
    </row>
    <row r="6" spans="1:4">
      <c r="A6" s="127" t="s">
        <v>165</v>
      </c>
      <c r="B6">
        <f>SUMIFS(PAI2025Planejamento[QTDE PCPDs REVISADA],PAI2025Planejamento[UDVD],A6,PAI2025Planejamento[MACROTEMA],"ASSEMBLEIA")</f>
        <v>1</v>
      </c>
      <c r="C6">
        <v>11</v>
      </c>
      <c r="D6" s="79">
        <f>SUMIFS(PAI2025Planejamento[ORÇAMENTO TOTAL (R$)
REVISADO],PAI2025Planejamento[UDVD],A6,PAI2025Planejamento[MACROTEMA],"ASSEMBLEIA")</f>
        <v>36685</v>
      </c>
    </row>
    <row r="7" spans="1:4">
      <c r="A7" s="127" t="s">
        <v>625</v>
      </c>
      <c r="B7">
        <f>SUMIFS(PAI2025Planejamento[QTDE PCPDs REVISADA],PAI2025Planejamento[UDVD],A7,PAI2025Planejamento[MACROTEMA],"ASSEMBLEIA")</f>
        <v>1</v>
      </c>
      <c r="C7">
        <v>5</v>
      </c>
      <c r="D7" s="79">
        <f>SUMIFS(PAI2025Planejamento[ORÇAMENTO TOTAL (R$)
REVISADO],PAI2025Planejamento[UDVD],A7,PAI2025Planejamento[MACROTEMA],"ASSEMBLEIA")</f>
        <v>24505</v>
      </c>
    </row>
    <row r="8" spans="1:4">
      <c r="A8" s="127" t="s">
        <v>195</v>
      </c>
      <c r="B8">
        <v>2</v>
      </c>
      <c r="C8">
        <v>12</v>
      </c>
      <c r="D8" s="79">
        <f>SUMIFS(PAI2025Planejamento[ORÇAMENTO TOTAL (R$)
REVISADO],PAI2025Planejamento[UDVD],A8,PAI2025Planejamento[MACROTEMA],"ASSEMBLEIA")/3*2</f>
        <v>74066</v>
      </c>
    </row>
    <row r="9" spans="1:4">
      <c r="A9" s="129" t="s">
        <v>2323</v>
      </c>
      <c r="B9">
        <v>1</v>
      </c>
      <c r="C9">
        <v>12</v>
      </c>
      <c r="D9" s="79">
        <f>D8/2</f>
        <v>37033</v>
      </c>
    </row>
    <row r="10" spans="1:4">
      <c r="A10" s="127" t="s">
        <v>274</v>
      </c>
      <c r="B10">
        <f>SUMIFS(PAI2025Planejamento[QTDE PCPDs REVISADA],PAI2025Planejamento[UDVD],A10,PAI2025Planejamento[MACROTEMA],"ASSEMBLEIA")</f>
        <v>1</v>
      </c>
      <c r="C10">
        <v>11</v>
      </c>
      <c r="D10" s="79">
        <f>SUMIFS(PAI2025Planejamento[ORÇAMENTO TOTAL (R$)
REVISADO],PAI2025Planejamento[UDVD],A10,PAI2025Planejamento[MACROTEMA],"ASSEMBLEIA")</f>
        <v>35119</v>
      </c>
    </row>
    <row r="11" spans="1:4">
      <c r="A11" s="127" t="s">
        <v>1604</v>
      </c>
      <c r="B11">
        <f>SUMIFS(PAI2025Planejamento[QTDE PCPDs REVISADA],PAI2025Planejamento[UDVD],A11,PAI2025Planejamento[MACROTEMA],"ASSEMBLEIA")</f>
        <v>0</v>
      </c>
      <c r="C11">
        <v>0</v>
      </c>
      <c r="D11" s="79">
        <f>SUMIFS(PAI2025Planejamento[ORÇAMENTO TOTAL (R$)
REVISADO],PAI2025Planejamento[UDVD],A11,PAI2025Planejamento[MACROTEMA],"ASSEMBLEIA")</f>
        <v>0</v>
      </c>
    </row>
    <row r="12" spans="1:4">
      <c r="A12" s="127" t="s">
        <v>126</v>
      </c>
      <c r="B12">
        <f>SUMIFS(PAI2025Planejamento[QTDE PCPDs REVISADA],PAI2025Planejamento[UDVD],A12,PAI2025Planejamento[MACROTEMA],"ASSEMBLEIA")</f>
        <v>1</v>
      </c>
      <c r="C12">
        <v>11</v>
      </c>
      <c r="D12" s="79">
        <f>SUMIFS(PAI2025Planejamento[ORÇAMENTO TOTAL (R$)
REVISADO],PAI2025Planejamento[UDVD],A12,PAI2025Planejamento[MACROTEMA],"ASSEMBLEIA")</f>
        <v>36685</v>
      </c>
    </row>
    <row r="13" spans="1:4">
      <c r="A13" s="127" t="s">
        <v>216</v>
      </c>
      <c r="B13">
        <f>SUMIFS(PAI2025Planejamento[QTDE PCPDs REVISADA],PAI2025Planejamento[UDVD],A13,PAI2025Planejamento[MACROTEMA],"ASSEMBLEIA")</f>
        <v>1</v>
      </c>
      <c r="C13">
        <v>11</v>
      </c>
      <c r="D13" s="79">
        <f>SUMIFS(PAI2025Planejamento[ORÇAMENTO TOTAL (R$)
REVISADO],PAI2025Planejamento[UDVD],A13,PAI2025Planejamento[MACROTEMA],"ASSEMBLEIA")</f>
        <v>36685</v>
      </c>
    </row>
    <row r="14" spans="1:4">
      <c r="A14" s="127" t="s">
        <v>264</v>
      </c>
      <c r="B14">
        <f>SUMIFS(PAI2025Planejamento[QTDE PCPDs REVISADA],PAI2025Planejamento[UDVD],A14,PAI2025Planejamento[MACROTEMA],"ASSEMBLEIA")</f>
        <v>0</v>
      </c>
      <c r="C14">
        <v>0</v>
      </c>
      <c r="D14" s="79">
        <f>SUMIFS(PAI2025Planejamento[ORÇAMENTO TOTAL (R$)
REVISADO],PAI2025Planejamento[UDVD],A14,PAI2025Planejamento[MACROTEMA],"ASSEMBLEIA")</f>
        <v>0</v>
      </c>
    </row>
    <row r="15" spans="1:4">
      <c r="A15" s="127" t="s">
        <v>1505</v>
      </c>
      <c r="B15">
        <f>SUMIFS(PAI2025Planejamento[QTDE PCPDs REVISADA],PAI2025Planejamento[UDVD],A15,PAI2025Planejamento[MACROTEMA],"ASSEMBLEIA")</f>
        <v>0</v>
      </c>
      <c r="C15">
        <v>0</v>
      </c>
      <c r="D15" s="79">
        <f>SUMIFS(PAI2025Planejamento[ORÇAMENTO TOTAL (R$)
REVISADO],PAI2025Planejamento[UDVD],A15,PAI2025Planejamento[MACROTEMA],"ASSEMBLEIA")</f>
        <v>0</v>
      </c>
    </row>
    <row r="16" spans="1:4">
      <c r="A16" s="127" t="s">
        <v>434</v>
      </c>
      <c r="B16">
        <f>SUMIFS(PAI2025Planejamento[QTDE PCPDs REVISADA],PAI2025Planejamento[UDVD],A16,PAI2025Planejamento[MACROTEMA],"ASSEMBLEIA")</f>
        <v>0</v>
      </c>
      <c r="C16">
        <v>0</v>
      </c>
      <c r="D16" s="79">
        <f>SUMIFS(PAI2025Planejamento[ORÇAMENTO TOTAL (R$)
REVISADO],PAI2025Planejamento[UDVD],A16,PAI2025Planejamento[MACROTEMA],"ASSEMBLEIA")</f>
        <v>0</v>
      </c>
    </row>
    <row r="17" spans="1:4">
      <c r="A17" s="127" t="s">
        <v>176</v>
      </c>
      <c r="B17">
        <f>SUMIFS(PAI2025Planejamento[QTDE PCPDs REVISADA],PAI2025Planejamento[UDVD],A17,PAI2025Planejamento[MACROTEMA],"ASSEMBLEIA")</f>
        <v>1</v>
      </c>
      <c r="C17">
        <v>11</v>
      </c>
      <c r="D17" s="79">
        <f>SUMIFS(PAI2025Planejamento[ORÇAMENTO TOTAL (R$)
REVISADO],PAI2025Planejamento[UDVD],A17,PAI2025Planejamento[MACROTEMA],"ASSEMBLEIA")</f>
        <v>36685</v>
      </c>
    </row>
    <row r="18" spans="1:4">
      <c r="A18" s="78" t="s">
        <v>2299</v>
      </c>
      <c r="B18" s="78">
        <f>SUBTOTAL(109,Assembleia[PCDPs])</f>
        <v>16</v>
      </c>
      <c r="C18" s="78"/>
      <c r="D18" s="80">
        <f>SUBTOTAL(109,Assembleia[ORÇAMENTO REVISADO])</f>
        <v>515388</v>
      </c>
    </row>
  </sheetData>
  <pageMargins left="0.511811024" right="0.511811024" top="0.78740157499999996" bottom="0.78740157499999996" header="0.31496062000000002" footer="0.31496062000000002"/>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E8AE0-BDB8-48A2-8E80-4ED919C54194}">
  <dimension ref="A1:C11"/>
  <sheetViews>
    <sheetView workbookViewId="0">
      <selection activeCell="G11" sqref="G11"/>
    </sheetView>
  </sheetViews>
  <sheetFormatPr defaultRowHeight="15"/>
  <cols>
    <col min="1" max="1" width="14.5703125" customWidth="1"/>
    <col min="2" max="2" width="15.5703125" style="9" customWidth="1"/>
    <col min="3" max="3" width="22.85546875" hidden="1" customWidth="1"/>
  </cols>
  <sheetData>
    <row r="1" spans="1:3">
      <c r="A1" s="238" t="s">
        <v>2324</v>
      </c>
      <c r="B1" s="238"/>
    </row>
    <row r="2" spans="1:3">
      <c r="A2" s="9" t="s">
        <v>47</v>
      </c>
      <c r="B2" s="9" t="s">
        <v>2319</v>
      </c>
      <c r="C2" t="s">
        <v>2321</v>
      </c>
    </row>
    <row r="3" spans="1:3">
      <c r="A3" s="127" t="s">
        <v>201</v>
      </c>
      <c r="B3" s="9">
        <f>SUMIFS(PAI2025Planejamento[QTDE PCPDs REVISADA],PAI2025Planejamento[UDVD],A3,PAI2025Planejamento[MACROTEMA],"ASSEMBLEIA")</f>
        <v>5</v>
      </c>
      <c r="C3" s="79">
        <f>SUMIFS(PAI2025Planejamento[ORÇAMENTO TOTAL (R$)
REVISADO],PAI2025Planejamento[UDVD],A3,PAI2025Planejamento[MACROTEMA],"ASSEMBLEIA")</f>
        <v>136735</v>
      </c>
    </row>
    <row r="4" spans="1:3">
      <c r="A4" s="127" t="s">
        <v>339</v>
      </c>
      <c r="B4" s="9">
        <v>1</v>
      </c>
      <c r="C4" s="79">
        <f>SUMIFS(PAI2025Planejamento[ORÇAMENTO TOTAL (R$)
REVISADO],PAI2025Planejamento[UDVD],A4,PAI2025Planejamento[MACROTEMA],"ASSEMBLEIA")</f>
        <v>0</v>
      </c>
    </row>
    <row r="5" spans="1:3">
      <c r="A5" s="127" t="s">
        <v>107</v>
      </c>
      <c r="B5" s="9">
        <f>SUMIFS(PAI2025Planejamento[QTDE PCPDs REVISADA],PAI2025Planejamento[UDVD],A5,PAI2025Planejamento[MACROTEMA],"ASSEMBLEIA")</f>
        <v>1</v>
      </c>
      <c r="C5" s="79">
        <f>SUMIFS(PAI2025Planejamento[ORÇAMENTO TOTAL (R$)
REVISADO],PAI2025Planejamento[UDVD],A5,PAI2025Planejamento[MACROTEMA],"ASSEMBLEIA")</f>
        <v>36685</v>
      </c>
    </row>
    <row r="6" spans="1:3">
      <c r="A6" s="127" t="s">
        <v>165</v>
      </c>
      <c r="B6" s="9">
        <f>SUMIFS(PAI2025Planejamento[QTDE PCPDs REVISADA],PAI2025Planejamento[UDVD],A6,PAI2025Planejamento[MACROTEMA],"ASSEMBLEIA")</f>
        <v>1</v>
      </c>
      <c r="C6" s="79">
        <f>SUMIFS(PAI2025Planejamento[ORÇAMENTO TOTAL (R$)
REVISADO],PAI2025Planejamento[UDVD],A6,PAI2025Planejamento[MACROTEMA],"ASSEMBLEIA")</f>
        <v>36685</v>
      </c>
    </row>
    <row r="7" spans="1:3">
      <c r="A7" s="127" t="s">
        <v>195</v>
      </c>
      <c r="B7" s="9">
        <v>4</v>
      </c>
      <c r="C7" s="79">
        <f>SUMIFS(PAI2025Planejamento[ORÇAMENTO TOTAL (R$)
REVISADO],PAI2025Planejamento[UDVD],A7,PAI2025Planejamento[MACROTEMA],"ASSEMBLEIA")/3*2</f>
        <v>74066</v>
      </c>
    </row>
    <row r="8" spans="1:3">
      <c r="A8" s="127" t="s">
        <v>126</v>
      </c>
      <c r="B8" s="9">
        <f>SUMIFS(PAI2025Planejamento[QTDE PCPDs REVISADA],PAI2025Planejamento[UDVD],A8,PAI2025Planejamento[MACROTEMA],"ASSEMBLEIA")</f>
        <v>1</v>
      </c>
      <c r="C8" s="79">
        <f>SUMIFS(PAI2025Planejamento[ORÇAMENTO TOTAL (R$)
REVISADO],PAI2025Planejamento[UDVD],A8,PAI2025Planejamento[MACROTEMA],"ASSEMBLEIA")</f>
        <v>36685</v>
      </c>
    </row>
    <row r="9" spans="1:3">
      <c r="A9" s="127" t="s">
        <v>216</v>
      </c>
      <c r="B9" s="9">
        <f>SUMIFS(PAI2025Planejamento[QTDE PCPDs REVISADA],PAI2025Planejamento[UDVD],A9,PAI2025Planejamento[MACROTEMA],"ASSEMBLEIA")</f>
        <v>1</v>
      </c>
      <c r="C9" s="79">
        <f>SUMIFS(PAI2025Planejamento[ORÇAMENTO TOTAL (R$)
REVISADO],PAI2025Planejamento[UDVD],A9,PAI2025Planejamento[MACROTEMA],"ASSEMBLEIA")</f>
        <v>36685</v>
      </c>
    </row>
    <row r="10" spans="1:3">
      <c r="A10" s="127" t="s">
        <v>176</v>
      </c>
      <c r="B10" s="9">
        <f>SUMIFS(PAI2025Planejamento[QTDE PCPDs REVISADA],PAI2025Planejamento[UDVD],A10,PAI2025Planejamento[MACROTEMA],"ASSEMBLEIA")</f>
        <v>1</v>
      </c>
      <c r="C10" s="79">
        <f>SUMIFS(PAI2025Planejamento[ORÇAMENTO TOTAL (R$)
REVISADO],PAI2025Planejamento[UDVD],A10,PAI2025Planejamento[MACROTEMA],"ASSEMBLEIA")</f>
        <v>36685</v>
      </c>
    </row>
    <row r="11" spans="1:3">
      <c r="A11" s="78" t="s">
        <v>2299</v>
      </c>
      <c r="B11" s="130">
        <f>SUBTOTAL(109,Assembleia6[PCDPs])</f>
        <v>15</v>
      </c>
      <c r="C11" s="80">
        <f>SUBTOTAL(109,Assembleia6[ORÇAMENTO REVISADO])</f>
        <v>394226</v>
      </c>
    </row>
  </sheetData>
  <mergeCells count="1">
    <mergeCell ref="A1:B1"/>
  </mergeCells>
  <pageMargins left="0.511811024" right="0.511811024" top="0.78740157499999996" bottom="0.78740157499999996" header="0.31496062000000002" footer="0.31496062000000002"/>
  <ignoredErrors>
    <ignoredError sqref="B7 B4" calculatedColumn="1"/>
  </ignoredErrors>
  <tableParts count="1">
    <tablePart r:id="rId1"/>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158D0-7391-4D32-81C5-A8BE3451DF61}">
  <sheetPr>
    <pageSetUpPr fitToPage="1"/>
  </sheetPr>
  <dimension ref="A1:I19"/>
  <sheetViews>
    <sheetView zoomScale="91" zoomScaleNormal="91" workbookViewId="0">
      <pane xSplit="1" ySplit="1" topLeftCell="B2" activePane="bottomRight" state="frozen"/>
      <selection pane="topRight" activeCell="M20" sqref="M20"/>
      <selection pane="bottomLeft" activeCell="M20" sqref="M20"/>
      <selection pane="bottomRight" activeCell="J8" sqref="J8"/>
    </sheetView>
  </sheetViews>
  <sheetFormatPr defaultColWidth="21.140625" defaultRowHeight="15"/>
  <cols>
    <col min="1" max="1" width="35" style="88" customWidth="1"/>
    <col min="2" max="4" width="23" style="88" hidden="1" customWidth="1"/>
    <col min="5" max="5" width="26.140625" style="88" hidden="1" customWidth="1"/>
    <col min="6" max="9" width="20.5703125" style="88" customWidth="1"/>
    <col min="10" max="16384" width="21.140625" style="88"/>
  </cols>
  <sheetData>
    <row r="1" spans="1:9" s="86" customFormat="1" ht="18.75">
      <c r="A1" s="83" t="s">
        <v>2325</v>
      </c>
      <c r="B1" s="84" t="s">
        <v>2326</v>
      </c>
      <c r="C1" s="84" t="s">
        <v>2327</v>
      </c>
      <c r="D1" s="84" t="s">
        <v>2328</v>
      </c>
      <c r="E1" s="84" t="s">
        <v>2329</v>
      </c>
      <c r="F1" s="84" t="s">
        <v>2330</v>
      </c>
      <c r="G1" s="84" t="s">
        <v>2331</v>
      </c>
      <c r="H1" s="85" t="s">
        <v>2332</v>
      </c>
      <c r="I1" s="85" t="s">
        <v>2333</v>
      </c>
    </row>
    <row r="2" spans="1:9" ht="18.75" customHeight="1">
      <c r="A2" s="87" t="s">
        <v>2334</v>
      </c>
      <c r="B2" s="104">
        <f>B3</f>
        <v>2626724</v>
      </c>
      <c r="C2" s="104">
        <f>C3</f>
        <v>2977146</v>
      </c>
      <c r="D2" s="104">
        <f>D3</f>
        <v>2911015</v>
      </c>
      <c r="E2" s="104">
        <v>3000000</v>
      </c>
      <c r="F2" s="104">
        <v>4117770</v>
      </c>
      <c r="G2" s="104">
        <v>5879900.8200000003</v>
      </c>
      <c r="H2" s="104">
        <v>6230000</v>
      </c>
      <c r="I2" s="104">
        <f>'Resumo'!K19</f>
        <v>6806540.6720000003</v>
      </c>
    </row>
    <row r="3" spans="1:9" s="86" customFormat="1" ht="18.75">
      <c r="A3" s="89" t="s">
        <v>2335</v>
      </c>
      <c r="B3" s="105">
        <f>2626724</f>
        <v>2626724</v>
      </c>
      <c r="C3" s="105">
        <v>2977146</v>
      </c>
      <c r="D3" s="105">
        <v>2911015</v>
      </c>
      <c r="E3" s="105">
        <v>2300000</v>
      </c>
      <c r="F3" s="105">
        <v>3000000</v>
      </c>
      <c r="G3" s="105">
        <v>5400000</v>
      </c>
      <c r="H3" s="105">
        <v>5057103.17</v>
      </c>
      <c r="I3" s="105">
        <v>4500000</v>
      </c>
    </row>
    <row r="4" spans="1:9" s="86" customFormat="1" ht="18.75">
      <c r="A4" s="91" t="s">
        <v>2336</v>
      </c>
      <c r="B4" s="105"/>
      <c r="C4" s="105"/>
      <c r="D4" s="105"/>
      <c r="E4" s="105"/>
      <c r="F4" s="110">
        <f>F2/F6</f>
        <v>735316.07142857148</v>
      </c>
      <c r="G4" s="110">
        <f t="shared" ref="G4:H4" si="0">G2/G6</f>
        <v>1130750.1576923076</v>
      </c>
      <c r="H4" s="110">
        <f t="shared" si="0"/>
        <v>1233663.3663366337</v>
      </c>
      <c r="I4" s="110">
        <f>I2/I6</f>
        <v>1173541.4951724138</v>
      </c>
    </row>
    <row r="5" spans="1:9" s="92" customFormat="1" ht="18.75">
      <c r="A5" s="91" t="s">
        <v>2337</v>
      </c>
      <c r="B5" s="110">
        <f>B3/B6</f>
        <v>784096.71641791041</v>
      </c>
      <c r="C5" s="110">
        <f t="shared" ref="C5:E5" si="1">C3/C6</f>
        <v>744286.5</v>
      </c>
      <c r="D5" s="110">
        <f t="shared" si="1"/>
        <v>669198.85057471273</v>
      </c>
      <c r="E5" s="110">
        <f t="shared" si="1"/>
        <v>442307.69230769231</v>
      </c>
      <c r="F5" s="110">
        <f>F3/F6</f>
        <v>535714.2857142858</v>
      </c>
      <c r="G5" s="110">
        <f>G3/G6</f>
        <v>1038461.5384615384</v>
      </c>
      <c r="H5" s="110">
        <f>H3/H6</f>
        <v>1001406.5683168317</v>
      </c>
      <c r="I5" s="110">
        <f>I3/I6</f>
        <v>775862.06896551722</v>
      </c>
    </row>
    <row r="6" spans="1:9" s="86" customFormat="1" ht="18.75">
      <c r="A6" s="89" t="s">
        <v>2338</v>
      </c>
      <c r="B6" s="90">
        <v>3.35</v>
      </c>
      <c r="C6" s="90">
        <v>4</v>
      </c>
      <c r="D6" s="90">
        <v>4.3499999999999996</v>
      </c>
      <c r="E6" s="90">
        <v>5.2</v>
      </c>
      <c r="F6" s="90">
        <v>5.6</v>
      </c>
      <c r="G6" s="90">
        <v>5.2</v>
      </c>
      <c r="H6" s="90">
        <v>5.05</v>
      </c>
      <c r="I6" s="90">
        <v>5.8</v>
      </c>
    </row>
    <row r="7" spans="1:9" s="86" customFormat="1" ht="18.75">
      <c r="A7" s="93" t="s">
        <v>2339</v>
      </c>
      <c r="B7" s="111">
        <v>127</v>
      </c>
      <c r="C7" s="111">
        <v>131</v>
      </c>
      <c r="D7" s="111">
        <v>137</v>
      </c>
      <c r="E7" s="111">
        <v>81</v>
      </c>
      <c r="F7" s="94">
        <v>122</v>
      </c>
      <c r="G7" s="94">
        <v>195</v>
      </c>
      <c r="H7" s="94">
        <v>223</v>
      </c>
      <c r="I7" s="94">
        <v>224</v>
      </c>
    </row>
    <row r="8" spans="1:9" s="86" customFormat="1" ht="18.75">
      <c r="A8" s="89" t="s">
        <v>2340</v>
      </c>
      <c r="B8" s="111">
        <v>211</v>
      </c>
      <c r="C8" s="111">
        <v>215</v>
      </c>
      <c r="D8" s="111">
        <v>190</v>
      </c>
      <c r="E8" s="111">
        <v>116</v>
      </c>
      <c r="F8" s="94">
        <v>136</v>
      </c>
      <c r="G8" s="94">
        <v>245</v>
      </c>
      <c r="H8" s="94">
        <v>267</v>
      </c>
      <c r="I8" s="94">
        <v>313</v>
      </c>
    </row>
    <row r="9" spans="1:9" s="86" customFormat="1" ht="18.75">
      <c r="A9" s="89" t="s">
        <v>2341</v>
      </c>
      <c r="B9" s="105">
        <f>168000000</f>
        <v>168000000</v>
      </c>
      <c r="C9" s="105">
        <v>158000000</v>
      </c>
      <c r="D9" s="105">
        <v>145000000</v>
      </c>
      <c r="E9" s="105">
        <v>124000000</v>
      </c>
      <c r="F9" s="105">
        <v>129700000</v>
      </c>
      <c r="G9" s="105">
        <v>135600000</v>
      </c>
      <c r="H9" s="105">
        <v>132300000</v>
      </c>
      <c r="I9" s="105">
        <v>114500000</v>
      </c>
    </row>
    <row r="10" spans="1:9" s="86" customFormat="1" ht="18.75" hidden="1">
      <c r="A10" s="89" t="s">
        <v>2342</v>
      </c>
      <c r="B10" s="95">
        <f>B9/B6</f>
        <v>50149253.731343284</v>
      </c>
      <c r="C10" s="95">
        <f t="shared" ref="C10:H10" si="2">C9/C6</f>
        <v>39500000</v>
      </c>
      <c r="D10" s="95">
        <f t="shared" si="2"/>
        <v>33333333.333333336</v>
      </c>
      <c r="E10" s="95">
        <f t="shared" si="2"/>
        <v>23846153.846153844</v>
      </c>
      <c r="F10" s="95">
        <f t="shared" si="2"/>
        <v>23160714.285714287</v>
      </c>
      <c r="G10" s="95">
        <f t="shared" si="2"/>
        <v>26076923.076923076</v>
      </c>
      <c r="H10" s="95">
        <f t="shared" si="2"/>
        <v>26198019.801980197</v>
      </c>
      <c r="I10" s="95"/>
    </row>
    <row r="11" spans="1:9" s="86" customFormat="1" ht="18.75">
      <c r="A11" s="89" t="s">
        <v>2343</v>
      </c>
      <c r="B11" s="96">
        <f>B5/B10</f>
        <v>1.5635261904761905E-2</v>
      </c>
      <c r="C11" s="96">
        <f>C5/C10</f>
        <v>1.8842696202531647E-2</v>
      </c>
      <c r="D11" s="96">
        <f t="shared" ref="D11:E11" si="3">D5/D10</f>
        <v>2.0075965517241379E-2</v>
      </c>
      <c r="E11" s="96">
        <f t="shared" si="3"/>
        <v>1.8548387096774196E-2</v>
      </c>
      <c r="F11" s="96">
        <f>F3/F9</f>
        <v>2.313030069390902E-2</v>
      </c>
      <c r="G11" s="96">
        <f>G3/G9</f>
        <v>3.9823008849557522E-2</v>
      </c>
      <c r="H11" s="96">
        <f>H3/H9</f>
        <v>3.8224513756613759E-2</v>
      </c>
      <c r="I11" s="96">
        <f>I3/I9</f>
        <v>3.9301310043668124E-2</v>
      </c>
    </row>
    <row r="12" spans="1:9" s="86" customFormat="1" ht="18.75" hidden="1">
      <c r="A12" s="89" t="s">
        <v>2344</v>
      </c>
      <c r="B12" s="90">
        <v>500000</v>
      </c>
      <c r="C12" s="97"/>
      <c r="D12" s="97"/>
      <c r="E12" s="97"/>
      <c r="F12" s="97"/>
      <c r="G12" s="97"/>
      <c r="H12" s="97"/>
      <c r="I12" s="97"/>
    </row>
    <row r="13" spans="1:9" s="86" customFormat="1" ht="18.75">
      <c r="A13" s="89" t="s">
        <v>2345</v>
      </c>
      <c r="B13" s="112">
        <v>2707912.1350000007</v>
      </c>
      <c r="C13" s="112">
        <v>2234652.8100000005</v>
      </c>
      <c r="D13" s="112">
        <v>309493</v>
      </c>
      <c r="E13" s="112">
        <v>360000</v>
      </c>
      <c r="F13" s="112">
        <v>3523526.98</v>
      </c>
      <c r="G13" s="112">
        <v>5170574.8599999994</v>
      </c>
      <c r="H13" s="112">
        <v>5127214.83</v>
      </c>
      <c r="I13" s="106"/>
    </row>
    <row r="14" spans="1:9" hidden="1">
      <c r="A14" s="87" t="s">
        <v>2346</v>
      </c>
      <c r="B14" s="107"/>
      <c r="C14" s="106">
        <v>2100000</v>
      </c>
      <c r="D14" s="107"/>
      <c r="E14" s="107"/>
      <c r="F14" s="108"/>
      <c r="G14" s="109"/>
      <c r="H14" s="109"/>
      <c r="I14" s="109"/>
    </row>
    <row r="15" spans="1:9">
      <c r="A15" s="113"/>
      <c r="B15" s="106"/>
      <c r="C15" s="106"/>
      <c r="D15" s="106"/>
      <c r="E15" s="106"/>
      <c r="F15" s="110">
        <f>F13/F6</f>
        <v>629201.24642857141</v>
      </c>
      <c r="G15" s="110">
        <f t="shared" ref="G15:I15" si="4">G13/G6</f>
        <v>994341.31923076906</v>
      </c>
      <c r="H15" s="110">
        <f>H13/H6</f>
        <v>1015290.0653465347</v>
      </c>
      <c r="I15" s="110">
        <f t="shared" si="4"/>
        <v>0</v>
      </c>
    </row>
    <row r="16" spans="1:9">
      <c r="A16" s="87"/>
      <c r="B16" s="107">
        <f>B5/B8</f>
        <v>3716.098182075405</v>
      </c>
      <c r="C16" s="107">
        <f>C5/C8</f>
        <v>3461.7976744186049</v>
      </c>
      <c r="D16" s="107">
        <f>D5/D8</f>
        <v>3522.0992135511196</v>
      </c>
      <c r="E16" s="107">
        <f>E5/E8</f>
        <v>3812.9973474801063</v>
      </c>
      <c r="F16" s="107">
        <f>F15/F8</f>
        <v>4626.4797531512604</v>
      </c>
      <c r="G16" s="107">
        <f t="shared" ref="G16:I16" si="5">G15/G8</f>
        <v>4058.535996860282</v>
      </c>
      <c r="H16" s="107">
        <f t="shared" si="5"/>
        <v>3802.584514406497</v>
      </c>
      <c r="I16" s="107">
        <f t="shared" si="5"/>
        <v>0</v>
      </c>
    </row>
    <row r="18" spans="6:9">
      <c r="F18" s="109">
        <f t="shared" ref="F18:G18" si="6">F15/F8</f>
        <v>4626.4797531512604</v>
      </c>
      <c r="G18" s="109">
        <f t="shared" si="6"/>
        <v>4058.535996860282</v>
      </c>
      <c r="H18" s="109">
        <f>H5/H8</f>
        <v>3750.5863981903808</v>
      </c>
      <c r="I18" s="109">
        <f>I4/I8</f>
        <v>3749.3338503910982</v>
      </c>
    </row>
    <row r="19" spans="6:9">
      <c r="F19" s="98"/>
      <c r="G19" s="99"/>
      <c r="H19" s="99"/>
      <c r="I19" s="99"/>
    </row>
  </sheetData>
  <phoneticPr fontId="19" type="noConversion"/>
  <printOptions horizontalCentered="1"/>
  <pageMargins left="0.51181102362204722" right="0.51181102362204722" top="0.78740157480314965" bottom="0.78740157480314965" header="0.31496062992125984" footer="0.31496062992125984"/>
  <pageSetup paperSize="9" scale="73" orientation="landscape" r:id="rId1"/>
  <legacy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7A374-C648-4276-827E-6ACA85146AFD}">
  <sheetPr>
    <pageSetUpPr fitToPage="1"/>
  </sheetPr>
  <dimension ref="A1:G33"/>
  <sheetViews>
    <sheetView zoomScaleNormal="100" workbookViewId="0">
      <pane xSplit="2" ySplit="2" topLeftCell="C5" activePane="bottomRight" state="frozen"/>
      <selection pane="topRight" activeCell="C1" sqref="C1"/>
      <selection pane="bottomLeft" activeCell="A3" sqref="A3"/>
      <selection pane="bottomRight" activeCell="C6" sqref="C6"/>
    </sheetView>
  </sheetViews>
  <sheetFormatPr defaultRowHeight="15"/>
  <cols>
    <col min="1" max="1" width="8.85546875" customWidth="1"/>
    <col min="2" max="2" width="34.42578125" customWidth="1"/>
    <col min="3" max="7" width="24.5703125" customWidth="1"/>
    <col min="8" max="8" width="26" customWidth="1"/>
    <col min="9" max="9" width="22.28515625" bestFit="1" customWidth="1"/>
  </cols>
  <sheetData>
    <row r="1" spans="1:7" s="14" customFormat="1" ht="43.5" customHeight="1">
      <c r="C1" s="14" t="s">
        <v>2347</v>
      </c>
      <c r="D1" s="14" t="s">
        <v>2348</v>
      </c>
      <c r="E1" s="14" t="s">
        <v>2349</v>
      </c>
      <c r="F1" s="14" t="s">
        <v>2350</v>
      </c>
      <c r="G1" s="14" t="s">
        <v>2351</v>
      </c>
    </row>
    <row r="2" spans="1:7" s="9" customFormat="1" ht="38.25">
      <c r="A2" s="44" t="s">
        <v>2352</v>
      </c>
      <c r="B2" s="44"/>
      <c r="C2" s="44" t="s">
        <v>2353</v>
      </c>
      <c r="D2" s="44" t="s">
        <v>2354</v>
      </c>
      <c r="E2" s="44" t="s">
        <v>2355</v>
      </c>
      <c r="F2" s="44" t="s">
        <v>2356</v>
      </c>
      <c r="G2" s="44" t="s">
        <v>2357</v>
      </c>
    </row>
    <row r="3" spans="1:7" ht="216.75">
      <c r="A3" s="44" t="s">
        <v>110</v>
      </c>
      <c r="B3" s="45" t="s">
        <v>2358</v>
      </c>
      <c r="C3" s="44">
        <v>220</v>
      </c>
      <c r="D3" s="44">
        <v>200</v>
      </c>
      <c r="E3" s="44">
        <v>190</v>
      </c>
      <c r="F3" s="44">
        <v>180</v>
      </c>
      <c r="G3" s="44">
        <v>170</v>
      </c>
    </row>
    <row r="4" spans="1:7" ht="229.5">
      <c r="A4" s="44" t="s">
        <v>178</v>
      </c>
      <c r="B4" s="45" t="s">
        <v>2359</v>
      </c>
      <c r="C4" s="44">
        <v>300</v>
      </c>
      <c r="D4" s="44">
        <v>280</v>
      </c>
      <c r="E4" s="44">
        <v>270</v>
      </c>
      <c r="F4" s="44">
        <v>260</v>
      </c>
      <c r="G4" s="44">
        <v>250</v>
      </c>
    </row>
    <row r="5" spans="1:7" ht="191.25">
      <c r="A5" s="44" t="s">
        <v>2360</v>
      </c>
      <c r="B5" s="45" t="s">
        <v>2361</v>
      </c>
      <c r="C5" s="44">
        <v>350</v>
      </c>
      <c r="D5" s="44">
        <v>330</v>
      </c>
      <c r="E5" s="44">
        <v>320</v>
      </c>
      <c r="F5" s="44">
        <v>310</v>
      </c>
      <c r="G5" s="44">
        <v>300</v>
      </c>
    </row>
    <row r="6" spans="1:7" ht="140.25">
      <c r="A6" s="44" t="s">
        <v>2362</v>
      </c>
      <c r="B6" s="45" t="s">
        <v>2363</v>
      </c>
      <c r="C6" s="46">
        <v>460</v>
      </c>
      <c r="D6" s="46">
        <v>420</v>
      </c>
      <c r="E6" s="46">
        <v>390</v>
      </c>
      <c r="F6" s="46">
        <v>370</v>
      </c>
      <c r="G6" s="46">
        <v>350</v>
      </c>
    </row>
    <row r="10" spans="1:7" ht="30">
      <c r="A10" s="53" t="s">
        <v>2364</v>
      </c>
      <c r="B10" s="53" t="s">
        <v>2365</v>
      </c>
    </row>
    <row r="11" spans="1:7" ht="180">
      <c r="A11" s="239" t="s">
        <v>2366</v>
      </c>
      <c r="B11" s="54" t="s">
        <v>2367</v>
      </c>
    </row>
    <row r="12" spans="1:7">
      <c r="A12" s="239"/>
      <c r="B12" s="55"/>
    </row>
    <row r="13" spans="1:7" ht="30">
      <c r="A13" s="239"/>
      <c r="B13" s="56" t="s">
        <v>2368</v>
      </c>
    </row>
    <row r="14" spans="1:7">
      <c r="A14" s="239"/>
      <c r="B14" s="55"/>
    </row>
    <row r="15" spans="1:7" ht="60">
      <c r="A15" s="239"/>
      <c r="B15" s="54" t="s">
        <v>2369</v>
      </c>
    </row>
    <row r="16" spans="1:7" ht="120">
      <c r="A16" s="239" t="s">
        <v>2370</v>
      </c>
      <c r="B16" s="54" t="s">
        <v>2371</v>
      </c>
    </row>
    <row r="17" spans="1:2">
      <c r="A17" s="239"/>
      <c r="B17" s="55"/>
    </row>
    <row r="18" spans="1:2" ht="30">
      <c r="A18" s="239"/>
      <c r="B18" s="56" t="s">
        <v>2372</v>
      </c>
    </row>
    <row r="19" spans="1:2">
      <c r="A19" s="239"/>
      <c r="B19" s="55"/>
    </row>
    <row r="20" spans="1:2" ht="60">
      <c r="A20" s="239"/>
      <c r="B20" s="54" t="s">
        <v>2373</v>
      </c>
    </row>
    <row r="21" spans="1:2" ht="135">
      <c r="A21" s="239" t="s">
        <v>2374</v>
      </c>
      <c r="B21" s="54" t="s">
        <v>2375</v>
      </c>
    </row>
    <row r="22" spans="1:2">
      <c r="A22" s="239"/>
      <c r="B22" s="55"/>
    </row>
    <row r="23" spans="1:2" ht="30">
      <c r="A23" s="239"/>
      <c r="B23" s="56" t="s">
        <v>2376</v>
      </c>
    </row>
    <row r="24" spans="1:2">
      <c r="A24" s="239"/>
      <c r="B24" s="55"/>
    </row>
    <row r="25" spans="1:2">
      <c r="A25" s="239"/>
      <c r="B25" s="54" t="s">
        <v>2377</v>
      </c>
    </row>
    <row r="26" spans="1:2" ht="180">
      <c r="A26" s="239" t="s">
        <v>2378</v>
      </c>
      <c r="B26" s="54" t="s">
        <v>2379</v>
      </c>
    </row>
    <row r="27" spans="1:2">
      <c r="A27" s="239"/>
      <c r="B27" s="55"/>
    </row>
    <row r="28" spans="1:2" ht="30">
      <c r="A28" s="239"/>
      <c r="B28" s="56" t="s">
        <v>2380</v>
      </c>
    </row>
    <row r="29" spans="1:2">
      <c r="A29" s="239"/>
      <c r="B29" s="55"/>
    </row>
    <row r="30" spans="1:2" ht="45">
      <c r="A30" s="239"/>
      <c r="B30" s="54" t="s">
        <v>2381</v>
      </c>
    </row>
    <row r="31" spans="1:2" ht="75">
      <c r="A31" s="239" t="s">
        <v>2382</v>
      </c>
      <c r="B31" s="54" t="s">
        <v>2383</v>
      </c>
    </row>
    <row r="32" spans="1:2">
      <c r="A32" s="239"/>
      <c r="B32" s="55"/>
    </row>
    <row r="33" spans="1:2" ht="75">
      <c r="A33" s="239"/>
      <c r="B33" s="54" t="s">
        <v>2384</v>
      </c>
    </row>
  </sheetData>
  <autoFilter ref="A2:G2" xr:uid="{40F7A374-C648-4276-827E-6ACA85146AFD}"/>
  <mergeCells count="5">
    <mergeCell ref="A26:A30"/>
    <mergeCell ref="A31:A33"/>
    <mergeCell ref="A11:A15"/>
    <mergeCell ref="A16:A20"/>
    <mergeCell ref="A21:A25"/>
  </mergeCells>
  <pageMargins left="0.511811024" right="0.511811024" top="0.78740157499999996" bottom="0.78740157499999996" header="0.31496062000000002" footer="0.31496062000000002"/>
  <pageSetup paperSize="9"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A3401-FE68-444E-BCB5-AD32CC706249}">
  <dimension ref="A1:B24"/>
  <sheetViews>
    <sheetView workbookViewId="0">
      <selection activeCell="B13" sqref="B13"/>
    </sheetView>
  </sheetViews>
  <sheetFormatPr defaultColWidth="8.7109375" defaultRowHeight="15"/>
  <cols>
    <col min="1" max="1" width="12.5703125" style="48" bestFit="1" customWidth="1"/>
    <col min="2" max="2" width="78.85546875" style="48" bestFit="1" customWidth="1"/>
    <col min="3" max="16384" width="8.7109375" style="48"/>
  </cols>
  <sheetData>
    <row r="1" spans="1:2" ht="15.75">
      <c r="A1" s="240" t="s">
        <v>264</v>
      </c>
      <c r="B1" s="10" t="s">
        <v>2385</v>
      </c>
    </row>
    <row r="2" spans="1:2" ht="15.75">
      <c r="A2" s="240"/>
      <c r="B2" s="10" t="s">
        <v>2386</v>
      </c>
    </row>
    <row r="3" spans="1:2" ht="15.75">
      <c r="A3" s="240" t="s">
        <v>176</v>
      </c>
      <c r="B3" s="10" t="s">
        <v>2387</v>
      </c>
    </row>
    <row r="4" spans="1:2" ht="15.75">
      <c r="A4" s="240"/>
      <c r="B4" s="10" t="s">
        <v>2388</v>
      </c>
    </row>
    <row r="5" spans="1:2" ht="15.75">
      <c r="A5" s="240" t="s">
        <v>126</v>
      </c>
      <c r="B5" s="10" t="s">
        <v>2389</v>
      </c>
    </row>
    <row r="6" spans="1:2" ht="15.75">
      <c r="A6" s="240"/>
      <c r="B6" s="10" t="s">
        <v>2390</v>
      </c>
    </row>
    <row r="7" spans="1:2" ht="15.75">
      <c r="A7" s="47" t="s">
        <v>339</v>
      </c>
      <c r="B7" s="10" t="s">
        <v>2391</v>
      </c>
    </row>
    <row r="8" spans="1:2" ht="15.75">
      <c r="A8" s="47" t="s">
        <v>165</v>
      </c>
      <c r="B8" s="10" t="s">
        <v>2392</v>
      </c>
    </row>
    <row r="9" spans="1:2" ht="15.75">
      <c r="A9" s="47" t="s">
        <v>1505</v>
      </c>
      <c r="B9" s="10" t="s">
        <v>2393</v>
      </c>
    </row>
    <row r="10" spans="1:2" ht="15.75">
      <c r="A10" s="47" t="s">
        <v>2394</v>
      </c>
      <c r="B10" s="10" t="s">
        <v>2395</v>
      </c>
    </row>
    <row r="11" spans="1:2" ht="15.75">
      <c r="A11" s="240" t="s">
        <v>107</v>
      </c>
      <c r="B11" s="10" t="s">
        <v>2396</v>
      </c>
    </row>
    <row r="12" spans="1:2" ht="15.75">
      <c r="A12" s="240"/>
      <c r="B12" s="10" t="s">
        <v>2397</v>
      </c>
    </row>
    <row r="13" spans="1:2" ht="15.75">
      <c r="A13" s="240" t="s">
        <v>216</v>
      </c>
      <c r="B13" s="10" t="s">
        <v>2398</v>
      </c>
    </row>
    <row r="14" spans="1:2" ht="15.75">
      <c r="A14" s="240"/>
      <c r="B14" s="10" t="s">
        <v>2399</v>
      </c>
    </row>
    <row r="15" spans="1:2" ht="15.75">
      <c r="A15" s="47" t="s">
        <v>434</v>
      </c>
      <c r="B15" s="10" t="s">
        <v>2400</v>
      </c>
    </row>
    <row r="16" spans="1:2" ht="15.75">
      <c r="A16" s="240" t="s">
        <v>2401</v>
      </c>
      <c r="B16" s="10" t="s">
        <v>2402</v>
      </c>
    </row>
    <row r="17" spans="1:2" ht="15.75">
      <c r="A17" s="240"/>
      <c r="B17" s="10" t="s">
        <v>1126</v>
      </c>
    </row>
    <row r="18" spans="1:2" ht="15.75">
      <c r="A18" s="240" t="s">
        <v>1604</v>
      </c>
      <c r="B18" s="10" t="s">
        <v>2403</v>
      </c>
    </row>
    <row r="19" spans="1:2" ht="15.75">
      <c r="A19" s="240"/>
      <c r="B19" s="10" t="s">
        <v>2404</v>
      </c>
    </row>
    <row r="20" spans="1:2" ht="15.75">
      <c r="A20" s="47" t="s">
        <v>831</v>
      </c>
      <c r="B20" s="10"/>
    </row>
    <row r="21" spans="1:2" ht="15.75">
      <c r="A21" s="47" t="s">
        <v>2405</v>
      </c>
      <c r="B21" s="10" t="s">
        <v>2406</v>
      </c>
    </row>
    <row r="22" spans="1:2" ht="15.75">
      <c r="A22" s="47" t="s">
        <v>315</v>
      </c>
      <c r="B22" s="10" t="s">
        <v>2407</v>
      </c>
    </row>
    <row r="23" spans="1:2" ht="15.75">
      <c r="A23" s="47" t="s">
        <v>2408</v>
      </c>
      <c r="B23" s="10" t="s">
        <v>2409</v>
      </c>
    </row>
    <row r="24" spans="1:2" ht="15.75">
      <c r="A24" s="47" t="s">
        <v>309</v>
      </c>
      <c r="B24" s="10" t="s">
        <v>2410</v>
      </c>
    </row>
  </sheetData>
  <mergeCells count="7">
    <mergeCell ref="A18:A19"/>
    <mergeCell ref="A1:A2"/>
    <mergeCell ref="A3:A4"/>
    <mergeCell ref="A5:A6"/>
    <mergeCell ref="A11:A12"/>
    <mergeCell ref="A13:A14"/>
    <mergeCell ref="A16:A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EF8477889450E48B8832C19CC7372B8" ma:contentTypeVersion="4" ma:contentTypeDescription="Crie um novo documento." ma:contentTypeScope="" ma:versionID="eae9c9954d29c19df988df9758b63030">
  <xsd:schema xmlns:xsd="http://www.w3.org/2001/XMLSchema" xmlns:xs="http://www.w3.org/2001/XMLSchema" xmlns:p="http://schemas.microsoft.com/office/2006/metadata/properties" xmlns:ns2="e4be6523-56dc-47e4-b062-4344ceee65c0" targetNamespace="http://schemas.microsoft.com/office/2006/metadata/properties" ma:root="true" ma:fieldsID="f0c2db30c859629da5a82a7016b46805" ns2:_="">
    <xsd:import namespace="e4be6523-56dc-47e4-b062-4344ceee65c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be6523-56dc-47e4-b062-4344ceee65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1C6EE5-A7A6-449F-B6E5-ED41B5627F13}">
  <ds:schemaRefs>
    <ds:schemaRef ds:uri="http://schemas.microsoft.com/sharepoint/v3/contenttype/forms"/>
  </ds:schemaRefs>
</ds:datastoreItem>
</file>

<file path=customXml/itemProps2.xml><?xml version="1.0" encoding="utf-8"?>
<ds:datastoreItem xmlns:ds="http://schemas.openxmlformats.org/officeDocument/2006/customXml" ds:itemID="{00533574-E46A-42EC-BC61-9AF43FB7130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00F6FC6-5505-4346-9007-38C4E8D640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be6523-56dc-47e4-b062-4344ceee65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Metodologia de Priorização</vt:lpstr>
      <vt:lpstr>PAI 2025</vt:lpstr>
      <vt:lpstr>Orçamento por UDVD</vt:lpstr>
      <vt:lpstr>Resumo</vt:lpstr>
      <vt:lpstr>Assembleia</vt:lpstr>
      <vt:lpstr>RAAC</vt:lpstr>
      <vt:lpstr>Histórico PAI Rev</vt:lpstr>
      <vt:lpstr>Valores Díárias</vt:lpstr>
      <vt:lpstr>Pontos Focais</vt:lpstr>
      <vt:lpstr>Código</vt:lpstr>
    </vt:vector>
  </TitlesOfParts>
  <Manager/>
  <Company>ANAC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Barbara Sbraletta Margadonna</dc:creator>
  <cp:keywords/>
  <dc:description/>
  <cp:lastModifiedBy>Marcos Simplicio Sousa da Silva</cp:lastModifiedBy>
  <cp:revision/>
  <dcterms:created xsi:type="dcterms:W3CDTF">2024-09-25T22:30:50Z</dcterms:created>
  <dcterms:modified xsi:type="dcterms:W3CDTF">2025-05-30T18:44:04Z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0x0101002EF8477889450E48B8832C19CC7372B8</vt:lpwstr>
  </property>
</Properties>
</file>